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Library/WebServer/Documents/motquin.be/Modelisme/Dossiers/ressources/centrage/"/>
    </mc:Choice>
  </mc:AlternateContent>
  <xr:revisionPtr revIDLastSave="0" documentId="8_{4EC963EA-DDA2-7E48-A01B-7B2980BB872F}" xr6:coauthVersionLast="47" xr6:coauthVersionMax="47" xr10:uidLastSave="{00000000-0000-0000-0000-000000000000}"/>
  <workbookProtection lockStructure="1"/>
  <bookViews>
    <workbookView xWindow="100" yWindow="560" windowWidth="34580" windowHeight="24560" xr2:uid="{00000000-000D-0000-FFFF-FFFF00000000}"/>
  </bookViews>
  <sheets>
    <sheet name="Données et résultats" sheetId="1" r:id="rId1"/>
    <sheet name="calculs (copie)" sheetId="2" r:id="rId2"/>
    <sheet name="centrag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3" l="1"/>
  <c r="J12" i="3" s="1"/>
  <c r="M3" i="1"/>
  <c r="M4" i="1"/>
  <c r="F6" i="1"/>
  <c r="C3" i="1"/>
  <c r="C18" i="1"/>
  <c r="D46" i="2"/>
  <c r="F46" i="2"/>
  <c r="K8" i="2"/>
  <c r="H3" i="2"/>
  <c r="F9" i="2"/>
  <c r="K9" i="2"/>
  <c r="L9" i="2"/>
  <c r="E10" i="2"/>
  <c r="G10" i="2"/>
  <c r="J10" i="2"/>
  <c r="J11" i="2"/>
  <c r="G12" i="2"/>
  <c r="J12" i="2"/>
  <c r="J13" i="2"/>
  <c r="D14" i="2"/>
  <c r="F14" i="2"/>
  <c r="G14" i="2"/>
  <c r="I14" i="2"/>
  <c r="J14" i="2"/>
  <c r="J15" i="2"/>
  <c r="E16" i="2"/>
  <c r="G16" i="2"/>
  <c r="J16" i="2"/>
  <c r="J17" i="2"/>
  <c r="G18" i="2"/>
  <c r="J18" i="2"/>
  <c r="G19" i="2"/>
  <c r="J19" i="2"/>
  <c r="G20" i="2"/>
  <c r="I20" i="2"/>
  <c r="G21" i="2"/>
  <c r="I21" i="2"/>
  <c r="G22" i="2"/>
  <c r="J22" i="2"/>
  <c r="G23" i="2"/>
  <c r="J23" i="2"/>
  <c r="G24" i="2"/>
  <c r="G25" i="2"/>
  <c r="J25" i="2"/>
  <c r="J26" i="2"/>
  <c r="F27" i="2"/>
  <c r="E28" i="2"/>
  <c r="G28" i="2"/>
  <c r="J28" i="2"/>
  <c r="J29" i="2"/>
  <c r="G30" i="2"/>
  <c r="J30" i="2"/>
  <c r="J31" i="2"/>
  <c r="D32" i="2"/>
  <c r="F32" i="2"/>
  <c r="G32" i="2"/>
  <c r="G34" i="2"/>
  <c r="J34" i="2"/>
  <c r="J35" i="2"/>
  <c r="G36" i="2"/>
  <c r="I36" i="2"/>
  <c r="J36" i="2"/>
  <c r="J37" i="2"/>
  <c r="G38" i="2"/>
  <c r="J38" i="2"/>
  <c r="D39" i="2"/>
  <c r="J39" i="2"/>
  <c r="G40" i="2"/>
  <c r="J40" i="2"/>
  <c r="J41" i="2"/>
  <c r="G42" i="2"/>
  <c r="I42" i="2"/>
  <c r="G43" i="2"/>
  <c r="I43" i="2"/>
  <c r="J44" i="2"/>
  <c r="J45" i="2"/>
  <c r="G46" i="2"/>
  <c r="J46" i="2"/>
  <c r="J47" i="2"/>
  <c r="G48" i="2"/>
  <c r="I48" i="2"/>
  <c r="G49" i="2"/>
  <c r="J49" i="2"/>
  <c r="G50" i="2"/>
  <c r="J50" i="2"/>
  <c r="G51" i="2"/>
  <c r="AK25" i="1"/>
  <c r="I25" i="2" s="1"/>
  <c r="E7" i="1"/>
  <c r="D7" i="1"/>
  <c r="C7" i="1"/>
  <c r="F12" i="1"/>
  <c r="E13" i="1"/>
  <c r="AG14" i="1"/>
  <c r="E14" i="2" s="1"/>
  <c r="AH16" i="1"/>
  <c r="F16" i="2" s="1"/>
  <c r="AH29" i="1"/>
  <c r="AJ29" i="1" s="1"/>
  <c r="H29" i="2" s="1"/>
  <c r="AK32" i="1"/>
  <c r="AK36" i="1" s="1"/>
  <c r="AK14" i="1"/>
  <c r="AG32" i="1"/>
  <c r="E32" i="2" s="1"/>
  <c r="AH28" i="1"/>
  <c r="AK28" i="1" s="1"/>
  <c r="I28" i="2" s="1"/>
  <c r="AH11" i="1"/>
  <c r="AJ11" i="1" s="1"/>
  <c r="AJ15" i="1" s="1"/>
  <c r="H15" i="2" s="1"/>
  <c r="H11" i="2" l="1"/>
  <c r="F11" i="2"/>
  <c r="F28" i="2"/>
  <c r="I32" i="2"/>
  <c r="F29" i="2"/>
  <c r="AK15" i="1"/>
  <c r="I15" i="2" s="1"/>
  <c r="AK29" i="1"/>
  <c r="I29" i="2" s="1"/>
  <c r="AK11" i="1"/>
  <c r="I11" i="2" s="1"/>
  <c r="AK30" i="1"/>
  <c r="AJ30" i="1"/>
  <c r="H30" i="2" s="1"/>
  <c r="AJ33" i="1"/>
  <c r="H33" i="2" s="1"/>
  <c r="AK19" i="1"/>
  <c r="I19" i="2" s="1"/>
  <c r="AH17" i="1"/>
  <c r="F17" i="2" s="1"/>
  <c r="AJ16" i="1"/>
  <c r="H16" i="2" s="1"/>
  <c r="AH10" i="1"/>
  <c r="AJ28" i="1"/>
  <c r="H28" i="2" s="1"/>
  <c r="AK34" i="1" l="1"/>
  <c r="I34" i="2" s="1"/>
  <c r="I30" i="2"/>
  <c r="AJ10" i="1"/>
  <c r="H10" i="2" s="1"/>
  <c r="F10" i="2"/>
  <c r="AM28" i="1"/>
  <c r="K28" i="2" s="1"/>
  <c r="AJ34" i="1"/>
  <c r="AJ36" i="1" s="1"/>
  <c r="H36" i="2" s="1"/>
  <c r="AJ46" i="1"/>
  <c r="H46" i="2" s="1"/>
  <c r="AN28" i="1"/>
  <c r="L28" i="2" s="1"/>
  <c r="AJ17" i="1"/>
  <c r="H17" i="2" s="1"/>
  <c r="AJ31" i="1"/>
  <c r="AJ18" i="1"/>
  <c r="AK18" i="1"/>
  <c r="I18" i="2" s="1"/>
  <c r="AK31" i="1"/>
  <c r="I31" i="2" s="1"/>
  <c r="AJ13" i="1"/>
  <c r="H13" i="2" s="1"/>
  <c r="AJ45" i="1"/>
  <c r="H45" i="2" s="1"/>
  <c r="AK38" i="1"/>
  <c r="I38" i="2" s="1"/>
  <c r="AJ38" i="1"/>
  <c r="H38" i="2" s="1"/>
  <c r="AJ32" i="1"/>
  <c r="H32" i="2" s="1"/>
  <c r="AK33" i="1"/>
  <c r="AK39" i="1"/>
  <c r="I39" i="2" s="1"/>
  <c r="AK10" i="1"/>
  <c r="AJ14" i="1" l="1"/>
  <c r="AK12" i="1"/>
  <c r="I12" i="2" s="1"/>
  <c r="I10" i="2"/>
  <c r="AJ19" i="1"/>
  <c r="H19" i="2" s="1"/>
  <c r="H18" i="2"/>
  <c r="AN14" i="1"/>
  <c r="L14" i="2" s="1"/>
  <c r="H14" i="2"/>
  <c r="AK37" i="1"/>
  <c r="I33" i="2"/>
  <c r="AK35" i="1"/>
  <c r="I35" i="2" s="1"/>
  <c r="H31" i="2"/>
  <c r="AJ40" i="1"/>
  <c r="H34" i="2"/>
  <c r="AK40" i="1"/>
  <c r="I40" i="2" s="1"/>
  <c r="AJ47" i="1"/>
  <c r="H47" i="2" s="1"/>
  <c r="AN10" i="1"/>
  <c r="L10" i="2" s="1"/>
  <c r="AM14" i="1"/>
  <c r="K14" i="2" s="1"/>
  <c r="AM10" i="1"/>
  <c r="K10" i="2" s="1"/>
  <c r="AK44" i="1"/>
  <c r="AJ44" i="1"/>
  <c r="H44" i="2" s="1"/>
  <c r="AJ35" i="1"/>
  <c r="AK17" i="1"/>
  <c r="I17" i="2" s="1"/>
  <c r="AK16" i="1"/>
  <c r="I16" i="2" s="1"/>
  <c r="I37" i="2" l="1"/>
  <c r="AN34" i="1"/>
  <c r="L34" i="2" s="1"/>
  <c r="H35" i="2"/>
  <c r="AJ41" i="1"/>
  <c r="H41" i="2" s="1"/>
  <c r="H40" i="2"/>
  <c r="AK46" i="1"/>
  <c r="I46" i="2" s="1"/>
  <c r="I44" i="2"/>
  <c r="AM16" i="1"/>
  <c r="K16" i="2" s="1"/>
  <c r="AN16" i="1"/>
  <c r="L16" i="2" s="1"/>
  <c r="AM34" i="1"/>
  <c r="K34" i="2" s="1"/>
  <c r="AJ37" i="1"/>
  <c r="H37" i="2" s="1"/>
  <c r="AK13" i="1"/>
  <c r="AG39" i="1" l="1"/>
  <c r="AJ21" i="1"/>
  <c r="H21" i="2" s="1"/>
  <c r="I13" i="2"/>
  <c r="AN36" i="1"/>
  <c r="L36" i="2" s="1"/>
  <c r="AM36" i="1"/>
  <c r="K36" i="2" s="1"/>
  <c r="AK41" i="1"/>
  <c r="I41" i="2" s="1"/>
  <c r="AJ20" i="1"/>
  <c r="AJ12" i="1"/>
  <c r="AJ22" i="1" l="1"/>
  <c r="H22" i="2" s="1"/>
  <c r="H12" i="2"/>
  <c r="C33" i="1"/>
  <c r="C35" i="1" s="1"/>
  <c r="C36" i="1" s="1"/>
  <c r="H20" i="2"/>
  <c r="AJ39" i="1"/>
  <c r="E39" i="2"/>
  <c r="AJ23" i="1"/>
  <c r="H23" i="2" s="1"/>
  <c r="AK22" i="1"/>
  <c r="AJ42" i="1" l="1"/>
  <c r="H39" i="2"/>
  <c r="AK23" i="1"/>
  <c r="I22" i="2"/>
  <c r="AJ24" i="1"/>
  <c r="H24" i="2" s="1"/>
  <c r="C34" i="1" l="1"/>
  <c r="I23" i="2"/>
  <c r="H42" i="2"/>
  <c r="C47" i="1"/>
  <c r="AJ43" i="1"/>
  <c r="C49" i="1"/>
  <c r="C50" i="1" s="1"/>
  <c r="C51" i="1" s="1"/>
  <c r="M2" i="1" s="1"/>
  <c r="AJ26" i="1" s="1"/>
  <c r="H26" i="2" l="1"/>
  <c r="AK26" i="1"/>
  <c r="AN25" i="1" s="1"/>
  <c r="L25" i="2" s="1"/>
  <c r="AK45" i="1"/>
  <c r="H43" i="2"/>
  <c r="AJ48" i="1"/>
  <c r="AJ49" i="1" l="1"/>
  <c r="H48" i="2"/>
  <c r="AK47" i="1"/>
  <c r="AG46" i="1" s="1"/>
  <c r="E46" i="2" s="1"/>
  <c r="I45" i="2"/>
  <c r="AM25" i="1"/>
  <c r="I26" i="2"/>
  <c r="I47" i="2" l="1"/>
  <c r="AM46" i="1"/>
  <c r="K46" i="2" s="1"/>
  <c r="AN46" i="1"/>
  <c r="L46" i="2" s="1"/>
  <c r="H49" i="2"/>
  <c r="AK49" i="1"/>
  <c r="AJ50" i="1"/>
  <c r="H50" i="2" l="1"/>
  <c r="I49" i="2"/>
  <c r="AK50" i="1"/>
  <c r="I50" i="2" l="1"/>
  <c r="C48" i="1"/>
  <c r="AJ51" i="1"/>
  <c r="C22" i="1" l="1"/>
  <c r="C23" i="1" s="1"/>
  <c r="H51" i="2"/>
</calcChain>
</file>

<file path=xl/sharedStrings.xml><?xml version="1.0" encoding="utf-8"?>
<sst xmlns="http://schemas.openxmlformats.org/spreadsheetml/2006/main" count="206" uniqueCount="99">
  <si>
    <t>Aile</t>
  </si>
  <si>
    <t>envergure</t>
  </si>
  <si>
    <t>Fuselage</t>
  </si>
  <si>
    <t>corde d'emplanture</t>
  </si>
  <si>
    <t>corde de saumon</t>
  </si>
  <si>
    <t>Type de modèle</t>
  </si>
  <si>
    <t>flèche bord de fuite</t>
  </si>
  <si>
    <t>degrés</t>
  </si>
  <si>
    <t>normal</t>
  </si>
  <si>
    <t>mm</t>
  </si>
  <si>
    <t>bord de fuite</t>
  </si>
  <si>
    <t>bord d'attaque</t>
  </si>
  <si>
    <t>angle Fus-Ce</t>
  </si>
  <si>
    <t>Stabilisateur</t>
  </si>
  <si>
    <t>°</t>
  </si>
  <si>
    <t>Ba</t>
  </si>
  <si>
    <t>Bf</t>
  </si>
  <si>
    <t>Ce</t>
  </si>
  <si>
    <t>Cs</t>
  </si>
  <si>
    <t>distance entre les Ba aile et stab.</t>
  </si>
  <si>
    <t>x</t>
  </si>
  <si>
    <t>y</t>
  </si>
  <si>
    <t>bord de fuite 2ème partie</t>
  </si>
  <si>
    <t>distance nez - Bord d'attaque aile</t>
  </si>
  <si>
    <t>distance nez - Bord d'attaque stab.</t>
  </si>
  <si>
    <t>flèche bord d'attaque</t>
  </si>
  <si>
    <t>Bf_in_fus</t>
  </si>
  <si>
    <t>dBa_in_fus</t>
  </si>
  <si>
    <t>largeur  fus. Bord d'attaque de l'aile</t>
  </si>
  <si>
    <t>largeur  fus. Bord de fuite de l'aile</t>
  </si>
  <si>
    <t>aile</t>
  </si>
  <si>
    <t>stab</t>
  </si>
  <si>
    <t>Bf1</t>
  </si>
  <si>
    <t>Bf2</t>
  </si>
  <si>
    <t>largeur fus. à l'emplanture du stab.</t>
  </si>
  <si>
    <t>largeur  fus. Bord de fuite stab.</t>
  </si>
  <si>
    <t>longueur totale</t>
  </si>
  <si>
    <t>limite surface aile</t>
  </si>
  <si>
    <t>limite surface stab.</t>
  </si>
  <si>
    <t>angle Bf2</t>
  </si>
  <si>
    <t>surface utile</t>
  </si>
  <si>
    <t>dm2</t>
  </si>
  <si>
    <t>surface des ailes</t>
  </si>
  <si>
    <t>surface du stab.</t>
  </si>
  <si>
    <t>limite surfaces stab. 1-2</t>
  </si>
  <si>
    <t>a</t>
  </si>
  <si>
    <t>b</t>
  </si>
  <si>
    <t>emplanture relative</t>
  </si>
  <si>
    <t>corde moyenne</t>
  </si>
  <si>
    <t>X corde moyenne</t>
  </si>
  <si>
    <t>distance Cs-Cm</t>
  </si>
  <si>
    <t>Bf_s_rel</t>
  </si>
  <si>
    <t>yBa</t>
  </si>
  <si>
    <t>yBf</t>
  </si>
  <si>
    <t>Ybf</t>
  </si>
  <si>
    <t>y = ax + b</t>
  </si>
  <si>
    <t>triangles quelconques</t>
  </si>
  <si>
    <t>y bras de levier</t>
  </si>
  <si>
    <t>Bras de levier Stabilisateur</t>
  </si>
  <si>
    <t>allongement</t>
  </si>
  <si>
    <t>Volume de stabilisateur</t>
  </si>
  <si>
    <t>Efficacité de portance</t>
  </si>
  <si>
    <t>Efficacité relative de portance</t>
  </si>
  <si>
    <t>CG%</t>
  </si>
  <si>
    <t>type de nez</t>
  </si>
  <si>
    <t>court</t>
  </si>
  <si>
    <t>long</t>
  </si>
  <si>
    <t>Kf</t>
  </si>
  <si>
    <t>%</t>
  </si>
  <si>
    <t>marge statique</t>
  </si>
  <si>
    <t>type de vol</t>
  </si>
  <si>
    <t>classique</t>
  </si>
  <si>
    <t>voltige</t>
  </si>
  <si>
    <t>stable</t>
  </si>
  <si>
    <t>CG</t>
  </si>
  <si>
    <t>(bord fuselage)</t>
  </si>
  <si>
    <t>canard</t>
  </si>
  <si>
    <t>(sur l'axe fuselage)</t>
  </si>
  <si>
    <t xml:space="preserve"> (+ vers l'arrière et - vers l'avant)</t>
  </si>
  <si>
    <t>(sur l'aile)</t>
  </si>
  <si>
    <t>(les saumons doivent être parallèles)</t>
  </si>
  <si>
    <t>angle</t>
  </si>
  <si>
    <t>distance CG - Bord d'attaque à l'emplantrure</t>
  </si>
  <si>
    <t>distance CG - Bord d'attaque au saumon</t>
  </si>
  <si>
    <t>L'utilisation de cette feuille de calcul nécessite le recueil des données avec l'avion en ligne de vol horizontal.</t>
  </si>
  <si>
    <t>distance entre le bord d'attaque et le point où le train principal touche le sol</t>
  </si>
  <si>
    <t>(si le train principal est devant le BA cette distance doit être négative)</t>
  </si>
  <si>
    <t>(utilisez des cales quand c'est nécessaire)</t>
  </si>
  <si>
    <t>poids des 2 roues du train principal</t>
  </si>
  <si>
    <t>grammes</t>
  </si>
  <si>
    <t>(ne pas oublier de soustraire le poids des cales éventuelles)</t>
  </si>
  <si>
    <t>poids de la roue avant ou de la roulette de queue</t>
  </si>
  <si>
    <t>distance du BA au CG</t>
  </si>
  <si>
    <t>distance entre le BA et le point ou la roue du train secondaire touche le sol</t>
  </si>
  <si>
    <t>(négatif pour roue avant, positif pour roulette arrière)</t>
  </si>
  <si>
    <t>distance entre le BA et le lest à ajouter</t>
  </si>
  <si>
    <t>distance entre le BA et le CG voulu</t>
  </si>
  <si>
    <t>poids du lest à ajouter</t>
  </si>
  <si>
    <t>(si le lest est derrière le CG cette distance doit être négative)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</si>
</sst>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00B050"/>
      <name val="Calibri"/>
      <family val="2"/>
      <scheme val="minor"/>
    </font>
    <font>
      <b/>
      <sz val="14"/>
      <color rgb="FF00B050"/>
      <name val="Times New Roman"/>
      <family val="1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3" borderId="1" xfId="0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4" xfId="0" applyFill="1" applyBorder="1"/>
    <xf numFmtId="0" fontId="6" fillId="3" borderId="0" xfId="0" applyFont="1" applyFill="1" applyBorder="1"/>
    <xf numFmtId="0" fontId="0" fillId="3" borderId="5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6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0" fontId="0" fillId="4" borderId="4" xfId="0" applyFill="1" applyBorder="1"/>
    <xf numFmtId="0" fontId="0" fillId="4" borderId="5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right"/>
    </xf>
    <xf numFmtId="0" fontId="0" fillId="4" borderId="6" xfId="0" applyFill="1" applyBorder="1"/>
    <xf numFmtId="0" fontId="0" fillId="4" borderId="7" xfId="0" applyFill="1" applyBorder="1"/>
    <xf numFmtId="0" fontId="0" fillId="4" borderId="11" xfId="0" applyFill="1" applyBorder="1"/>
    <xf numFmtId="0" fontId="0" fillId="4" borderId="11" xfId="0" applyFill="1" applyBorder="1" applyAlignment="1">
      <alignment horizontal="right"/>
    </xf>
    <xf numFmtId="0" fontId="0" fillId="4" borderId="8" xfId="0" applyFill="1" applyBorder="1"/>
    <xf numFmtId="0" fontId="0" fillId="3" borderId="7" xfId="0" applyFill="1" applyBorder="1"/>
    <xf numFmtId="0" fontId="0" fillId="3" borderId="11" xfId="0" applyFill="1" applyBorder="1"/>
    <xf numFmtId="0" fontId="0" fillId="3" borderId="11" xfId="0" applyFill="1" applyBorder="1" applyAlignment="1">
      <alignment horizontal="right"/>
    </xf>
    <xf numFmtId="0" fontId="0" fillId="3" borderId="8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13" xfId="0" applyFill="1" applyBorder="1"/>
    <xf numFmtId="0" fontId="0" fillId="3" borderId="13" xfId="0" applyFill="1" applyBorder="1"/>
    <xf numFmtId="0" fontId="0" fillId="5" borderId="1" xfId="0" applyFill="1" applyBorder="1"/>
    <xf numFmtId="0" fontId="0" fillId="5" borderId="9" xfId="0" applyFill="1" applyBorder="1"/>
    <xf numFmtId="0" fontId="0" fillId="5" borderId="9" xfId="0" applyFill="1" applyBorder="1" applyAlignment="1">
      <alignment horizontal="right"/>
    </xf>
    <xf numFmtId="0" fontId="0" fillId="5" borderId="2" xfId="0" applyFill="1" applyBorder="1"/>
    <xf numFmtId="0" fontId="0" fillId="5" borderId="1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10" xfId="0" applyFill="1" applyBorder="1"/>
    <xf numFmtId="0" fontId="0" fillId="5" borderId="10" xfId="0" applyFill="1" applyBorder="1" applyAlignment="1">
      <alignment horizontal="right"/>
    </xf>
    <xf numFmtId="0" fontId="0" fillId="5" borderId="6" xfId="0" applyFill="1" applyBorder="1"/>
    <xf numFmtId="0" fontId="0" fillId="0" borderId="4" xfId="0" applyFill="1" applyBorder="1"/>
    <xf numFmtId="0" fontId="7" fillId="0" borderId="10" xfId="0" applyFont="1" applyBorder="1"/>
    <xf numFmtId="0" fontId="1" fillId="0" borderId="9" xfId="0" applyFont="1" applyBorder="1"/>
    <xf numFmtId="0" fontId="8" fillId="0" borderId="9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1" fillId="0" borderId="10" xfId="0" applyFont="1" applyBorder="1"/>
    <xf numFmtId="0" fontId="0" fillId="0" borderId="11" xfId="0" applyBorder="1"/>
    <xf numFmtId="0" fontId="5" fillId="0" borderId="11" xfId="0" applyFont="1" applyBorder="1"/>
    <xf numFmtId="0" fontId="7" fillId="0" borderId="11" xfId="0" applyFont="1" applyBorder="1"/>
    <xf numFmtId="0" fontId="8" fillId="0" borderId="11" xfId="0" applyFont="1" applyBorder="1"/>
    <xf numFmtId="0" fontId="8" fillId="0" borderId="7" xfId="0" applyFont="1" applyBorder="1" applyAlignment="1">
      <alignment horizontal="right"/>
    </xf>
    <xf numFmtId="0" fontId="10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2" borderId="17" xfId="0" applyFill="1" applyBorder="1"/>
    <xf numFmtId="0" fontId="1" fillId="0" borderId="18" xfId="0" applyFont="1" applyBorder="1"/>
    <xf numFmtId="0" fontId="0" fillId="0" borderId="19" xfId="0" applyBorder="1"/>
    <xf numFmtId="0" fontId="8" fillId="0" borderId="20" xfId="0" applyFont="1" applyBorder="1" applyAlignment="1">
      <alignment horizontal="right"/>
    </xf>
    <xf numFmtId="0" fontId="9" fillId="0" borderId="21" xfId="0" applyFont="1" applyBorder="1"/>
    <xf numFmtId="0" fontId="7" fillId="0" borderId="18" xfId="0" applyFont="1" applyBorder="1" applyAlignment="1">
      <alignment horizontal="right"/>
    </xf>
    <xf numFmtId="0" fontId="7" fillId="0" borderId="19" xfId="0" applyFont="1" applyBorder="1"/>
    <xf numFmtId="0" fontId="8" fillId="0" borderId="22" xfId="0" applyFont="1" applyBorder="1" applyAlignment="1">
      <alignment horizontal="right"/>
    </xf>
    <xf numFmtId="0" fontId="0" fillId="0" borderId="23" xfId="0" applyBorder="1"/>
    <xf numFmtId="0" fontId="8" fillId="0" borderId="22" xfId="0" applyFont="1" applyFill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0" fillId="0" borderId="25" xfId="0" applyBorder="1"/>
    <xf numFmtId="0" fontId="7" fillId="0" borderId="26" xfId="0" applyFont="1" applyBorder="1" applyAlignment="1">
      <alignment horizontal="right"/>
    </xf>
    <xf numFmtId="0" fontId="7" fillId="0" borderId="27" xfId="0" applyFont="1" applyBorder="1"/>
    <xf numFmtId="0" fontId="1" fillId="0" borderId="27" xfId="0" applyFont="1" applyBorder="1"/>
    <xf numFmtId="0" fontId="0" fillId="0" borderId="27" xfId="0" applyBorder="1"/>
    <xf numFmtId="0" fontId="0" fillId="0" borderId="28" xfId="0" applyBorder="1"/>
    <xf numFmtId="0" fontId="8" fillId="2" borderId="16" xfId="0" applyFont="1" applyFill="1" applyBorder="1" applyAlignment="1">
      <alignment horizontal="center"/>
    </xf>
    <xf numFmtId="0" fontId="1" fillId="0" borderId="24" xfId="0" applyFont="1" applyBorder="1"/>
    <xf numFmtId="0" fontId="9" fillId="0" borderId="25" xfId="0" applyFont="1" applyBorder="1"/>
    <xf numFmtId="0" fontId="9" fillId="0" borderId="28" xfId="0" applyFont="1" applyBorder="1"/>
    <xf numFmtId="0" fontId="0" fillId="2" borderId="16" xfId="0" applyFill="1" applyBorder="1" applyAlignment="1">
      <alignment horizontal="center"/>
    </xf>
    <xf numFmtId="0" fontId="1" fillId="0" borderId="26" xfId="0" applyFont="1" applyBorder="1"/>
    <xf numFmtId="0" fontId="0" fillId="0" borderId="27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1" xfId="0" applyFont="1" applyFill="1" applyBorder="1"/>
    <xf numFmtId="0" fontId="1" fillId="2" borderId="11" xfId="0" applyFont="1" applyFill="1" applyBorder="1"/>
    <xf numFmtId="0" fontId="0" fillId="2" borderId="11" xfId="0" applyFill="1" applyBorder="1"/>
    <xf numFmtId="0" fontId="0" fillId="2" borderId="8" xfId="0" applyFill="1" applyBorder="1"/>
    <xf numFmtId="0" fontId="2" fillId="0" borderId="11" xfId="0" quotePrefix="1" applyFont="1" applyBorder="1"/>
    <xf numFmtId="0" fontId="7" fillId="0" borderId="7" xfId="0" applyFont="1" applyBorder="1" applyAlignment="1">
      <alignment horizontal="right"/>
    </xf>
    <xf numFmtId="0" fontId="1" fillId="0" borderId="11" xfId="0" applyFont="1" applyBorder="1"/>
    <xf numFmtId="0" fontId="1" fillId="2" borderId="29" xfId="0" applyFont="1" applyFill="1" applyBorder="1" applyAlignment="1">
      <alignment horizontal="center"/>
    </xf>
    <xf numFmtId="0" fontId="2" fillId="2" borderId="30" xfId="0" applyFont="1" applyFill="1" applyBorder="1"/>
    <xf numFmtId="0" fontId="1" fillId="2" borderId="30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8" fillId="0" borderId="22" xfId="0" applyFont="1" applyBorder="1"/>
    <xf numFmtId="0" fontId="7" fillId="0" borderId="22" xfId="0" applyFont="1" applyBorder="1"/>
    <xf numFmtId="0" fontId="7" fillId="0" borderId="26" xfId="0" applyFont="1" applyBorder="1"/>
    <xf numFmtId="0" fontId="0" fillId="2" borderId="15" xfId="0" applyFill="1" applyBorder="1"/>
    <xf numFmtId="0" fontId="0" fillId="2" borderId="16" xfId="0" applyFill="1" applyBorder="1"/>
    <xf numFmtId="0" fontId="7" fillId="2" borderId="16" xfId="0" applyFont="1" applyFill="1" applyBorder="1" applyAlignment="1">
      <alignment horizontal="right"/>
    </xf>
    <xf numFmtId="164" fontId="9" fillId="2" borderId="16" xfId="0" applyNumberFormat="1" applyFont="1" applyFill="1" applyBorder="1"/>
    <xf numFmtId="0" fontId="9" fillId="2" borderId="16" xfId="0" applyFont="1" applyFill="1" applyBorder="1"/>
    <xf numFmtId="0" fontId="0" fillId="2" borderId="20" xfId="0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right"/>
    </xf>
    <xf numFmtId="164" fontId="9" fillId="2" borderId="0" xfId="0" applyNumberFormat="1" applyFont="1" applyFill="1" applyBorder="1"/>
    <xf numFmtId="0" fontId="7" fillId="2" borderId="0" xfId="0" applyFont="1" applyFill="1" applyBorder="1"/>
    <xf numFmtId="0" fontId="5" fillId="2" borderId="21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7" fillId="2" borderId="27" xfId="0" applyFont="1" applyFill="1" applyBorder="1" applyAlignment="1">
      <alignment horizontal="right"/>
    </xf>
    <xf numFmtId="164" fontId="9" fillId="2" borderId="27" xfId="0" applyNumberFormat="1" applyFont="1" applyFill="1" applyBorder="1"/>
    <xf numFmtId="0" fontId="7" fillId="2" borderId="27" xfId="0" applyFont="1" applyFill="1" applyBorder="1"/>
    <xf numFmtId="0" fontId="0" fillId="2" borderId="28" xfId="0" applyFill="1" applyBorder="1"/>
    <xf numFmtId="0" fontId="7" fillId="0" borderId="22" xfId="0" applyFont="1" applyBorder="1" applyAlignment="1">
      <alignment horizontal="right"/>
    </xf>
    <xf numFmtId="1" fontId="7" fillId="0" borderId="11" xfId="0" applyNumberFormat="1" applyFont="1" applyBorder="1"/>
    <xf numFmtId="2" fontId="7" fillId="0" borderId="11" xfId="0" applyNumberFormat="1" applyFont="1" applyBorder="1"/>
    <xf numFmtId="164" fontId="7" fillId="0" borderId="11" xfId="0" applyNumberFormat="1" applyFont="1" applyBorder="1"/>
    <xf numFmtId="2" fontId="7" fillId="0" borderId="27" xfId="0" applyNumberFormat="1" applyFont="1" applyBorder="1"/>
    <xf numFmtId="2" fontId="7" fillId="0" borderId="10" xfId="0" applyNumberFormat="1" applyFont="1" applyBorder="1"/>
    <xf numFmtId="1" fontId="7" fillId="0" borderId="10" xfId="0" applyNumberFormat="1" applyFont="1" applyBorder="1"/>
    <xf numFmtId="0" fontId="8" fillId="0" borderId="10" xfId="0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" fontId="8" fillId="0" borderId="11" xfId="0" applyNumberFormat="1" applyFont="1" applyBorder="1" applyProtection="1">
      <protection locked="0"/>
    </xf>
    <xf numFmtId="164" fontId="8" fillId="0" borderId="11" xfId="0" applyNumberFormat="1" applyFont="1" applyBorder="1" applyProtection="1">
      <protection locked="0"/>
    </xf>
    <xf numFmtId="2" fontId="8" fillId="0" borderId="11" xfId="0" applyNumberFormat="1" applyFont="1" applyBorder="1" applyProtection="1">
      <protection locked="0"/>
    </xf>
    <xf numFmtId="0" fontId="7" fillId="0" borderId="27" xfId="0" applyFont="1" applyBorder="1" applyAlignment="1" applyProtection="1">
      <alignment horizontal="center"/>
    </xf>
    <xf numFmtId="0" fontId="11" fillId="0" borderId="0" xfId="0" applyFont="1" applyFill="1" applyBorder="1"/>
    <xf numFmtId="0" fontId="6" fillId="0" borderId="0" xfId="0" applyFont="1" applyFill="1" applyBorder="1"/>
    <xf numFmtId="2" fontId="11" fillId="0" borderId="0" xfId="0" applyNumberFormat="1" applyFont="1" applyFill="1" applyBorder="1"/>
    <xf numFmtId="0" fontId="12" fillId="0" borderId="0" xfId="0" applyFont="1"/>
    <xf numFmtId="0" fontId="12" fillId="0" borderId="0" xfId="0" quotePrefix="1" applyFont="1"/>
    <xf numFmtId="0" fontId="12" fillId="2" borderId="15" xfId="0" applyFont="1" applyFill="1" applyBorder="1"/>
    <xf numFmtId="0" fontId="8" fillId="2" borderId="16" xfId="0" applyFont="1" applyFill="1" applyBorder="1"/>
    <xf numFmtId="0" fontId="15" fillId="2" borderId="16" xfId="0" applyFont="1" applyFill="1" applyBorder="1" applyAlignment="1">
      <alignment horizontal="right"/>
    </xf>
    <xf numFmtId="0" fontId="15" fillId="2" borderId="16" xfId="0" applyFont="1" applyFill="1" applyBorder="1"/>
    <xf numFmtId="0" fontId="8" fillId="2" borderId="17" xfId="0" applyFont="1" applyFill="1" applyBorder="1"/>
    <xf numFmtId="0" fontId="12" fillId="2" borderId="20" xfId="0" applyFont="1" applyFill="1" applyBorder="1"/>
    <xf numFmtId="0" fontId="8" fillId="2" borderId="0" xfId="0" applyFont="1" applyFill="1" applyBorder="1"/>
    <xf numFmtId="0" fontId="15" fillId="2" borderId="0" xfId="0" applyFont="1" applyFill="1" applyBorder="1" applyAlignment="1">
      <alignment horizontal="right"/>
    </xf>
    <xf numFmtId="0" fontId="15" fillId="2" borderId="0" xfId="0" applyFont="1" applyFill="1" applyBorder="1"/>
    <xf numFmtId="0" fontId="8" fillId="2" borderId="21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3" fillId="2" borderId="27" xfId="0" applyFont="1" applyFill="1" applyBorder="1" applyAlignment="1">
      <alignment horizontal="right"/>
    </xf>
    <xf numFmtId="164" fontId="7" fillId="2" borderId="27" xfId="0" applyNumberFormat="1" applyFont="1" applyFill="1" applyBorder="1"/>
    <xf numFmtId="0" fontId="12" fillId="2" borderId="28" xfId="0" applyFont="1" applyFill="1" applyBorder="1"/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12" fillId="2" borderId="16" xfId="0" applyFont="1" applyFill="1" applyBorder="1"/>
    <xf numFmtId="0" fontId="14" fillId="2" borderId="16" xfId="0" applyFont="1" applyFill="1" applyBorder="1"/>
    <xf numFmtId="0" fontId="8" fillId="2" borderId="16" xfId="0" applyFont="1" applyFill="1" applyBorder="1" applyAlignment="1">
      <alignment horizontal="right"/>
    </xf>
    <xf numFmtId="0" fontId="12" fillId="2" borderId="17" xfId="0" applyFont="1" applyFill="1" applyBorder="1"/>
    <xf numFmtId="0" fontId="12" fillId="2" borderId="0" xfId="0" applyFont="1" applyFill="1" applyBorder="1"/>
    <xf numFmtId="0" fontId="14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2" fillId="2" borderId="21" xfId="0" applyFont="1" applyFill="1" applyBorder="1"/>
    <xf numFmtId="0" fontId="16" fillId="0" borderId="0" xfId="0" applyFont="1"/>
    <xf numFmtId="0" fontId="8" fillId="2" borderId="16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Ba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résultats'!$AJ$10:$AK$10</c:f>
              <c:numCache>
                <c:formatCode>General</c:formatCode>
                <c:ptCount val="2"/>
                <c:pt idx="0">
                  <c:v>85.003863026827148</c:v>
                </c:pt>
                <c:pt idx="1">
                  <c:v>803.12049727552596</c:v>
                </c:pt>
              </c:numCache>
            </c:numRef>
          </c:xVal>
          <c:yVal>
            <c:numRef>
              <c:f>'Données et résultats'!$AJ$11:$AK$11</c:f>
              <c:numCache>
                <c:formatCode>General</c:formatCode>
                <c:ptCount val="2"/>
                <c:pt idx="0">
                  <c:v>306.32677586245688</c:v>
                </c:pt>
                <c:pt idx="1">
                  <c:v>359.62904689972595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10-4A47-9405-6440080A2ECF}"/>
            </c:ext>
          </c:extLst>
        </c:ser>
        <c:ser>
          <c:idx val="1"/>
          <c:order val="1"/>
          <c:tx>
            <c:v>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résultats'!$AJ$14:$AK$14</c:f>
              <c:numCache>
                <c:formatCode>General</c:formatCode>
                <c:ptCount val="2"/>
                <c:pt idx="0">
                  <c:v>85.003863026827148</c:v>
                </c:pt>
                <c:pt idx="1">
                  <c:v>53.878</c:v>
                </c:pt>
              </c:numCache>
            </c:numRef>
          </c:xVal>
          <c:yVal>
            <c:numRef>
              <c:f>'Données et résultats'!$AJ$15:$AK$15</c:f>
              <c:numCache>
                <c:formatCode>General</c:formatCode>
                <c:ptCount val="2"/>
                <c:pt idx="0">
                  <c:v>306.32677586245688</c:v>
                </c:pt>
                <c:pt idx="1">
                  <c:v>695.62403364216425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10-4A47-9405-6440080A2ECF}"/>
            </c:ext>
          </c:extLst>
        </c:ser>
        <c:ser>
          <c:idx val="2"/>
          <c:order val="2"/>
          <c:tx>
            <c:v>Bf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résultats'!$AJ$16:$AK$16</c:f>
              <c:numCache>
                <c:formatCode>General</c:formatCode>
                <c:ptCount val="2"/>
                <c:pt idx="0">
                  <c:v>53.878</c:v>
                </c:pt>
                <c:pt idx="1">
                  <c:v>803.12049727552596</c:v>
                </c:pt>
              </c:numCache>
            </c:numRef>
          </c:xVal>
          <c:yVal>
            <c:numRef>
              <c:f>'Données et résultats'!$AJ$17:$AK$17</c:f>
              <c:numCache>
                <c:formatCode>General</c:formatCode>
                <c:ptCount val="2"/>
                <c:pt idx="0">
                  <c:v>695.62403364216425</c:v>
                </c:pt>
                <c:pt idx="1">
                  <c:v>541.62904689972595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10-4A47-9405-6440080A2ECF}"/>
            </c:ext>
          </c:extLst>
        </c:ser>
        <c:ser>
          <c:idx val="3"/>
          <c:order val="3"/>
          <c:tx>
            <c:v>Cs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résultats'!$AJ$12:$AK$12</c:f>
              <c:numCache>
                <c:formatCode>General</c:formatCode>
                <c:ptCount val="2"/>
                <c:pt idx="0">
                  <c:v>803.12049727552596</c:v>
                </c:pt>
                <c:pt idx="1">
                  <c:v>803.12049727552596</c:v>
                </c:pt>
              </c:numCache>
            </c:numRef>
          </c:xVal>
          <c:yVal>
            <c:numRef>
              <c:f>'Données et résultats'!$AJ$13:$AK$13</c:f>
              <c:numCache>
                <c:formatCode>General</c:formatCode>
                <c:ptCount val="2"/>
                <c:pt idx="0">
                  <c:v>541.62904689972595</c:v>
                </c:pt>
                <c:pt idx="1">
                  <c:v>359.62904689972595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10-4A47-9405-6440080A2ECF}"/>
            </c:ext>
          </c:extLst>
        </c:ser>
        <c:ser>
          <c:idx val="4"/>
          <c:order val="4"/>
          <c:tx>
            <c:v>Ba_s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résultats'!$AJ$28:$AK$28</c:f>
              <c:numCache>
                <c:formatCode>General</c:formatCode>
                <c:ptCount val="2"/>
                <c:pt idx="0">
                  <c:v>21.714200000000002</c:v>
                </c:pt>
                <c:pt idx="1">
                  <c:v>251.58584910929395</c:v>
                </c:pt>
              </c:numCache>
            </c:numRef>
          </c:xVal>
          <c:yVal>
            <c:numRef>
              <c:f>'Données et résultats'!$AJ$29:$AK$29</c:f>
              <c:numCache>
                <c:formatCode>General</c:formatCode>
                <c:ptCount val="2"/>
                <c:pt idx="0">
                  <c:v>1093.7658355227752</c:v>
                </c:pt>
                <c:pt idx="1">
                  <c:v>1136.4549287630005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10-4A47-9405-6440080A2ECF}"/>
            </c:ext>
          </c:extLst>
        </c:ser>
        <c:ser>
          <c:idx val="5"/>
          <c:order val="5"/>
          <c:tx>
            <c:v>Cs_s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résultats'!$AJ$30:$AK$30</c:f>
              <c:numCache>
                <c:formatCode>General</c:formatCode>
                <c:ptCount val="2"/>
                <c:pt idx="0">
                  <c:v>251.58584910929395</c:v>
                </c:pt>
                <c:pt idx="1">
                  <c:v>251.58584910929395</c:v>
                </c:pt>
              </c:numCache>
            </c:numRef>
          </c:xVal>
          <c:yVal>
            <c:numRef>
              <c:f>'Données et résultats'!$AJ$31:$AK$31</c:f>
              <c:numCache>
                <c:formatCode>General</c:formatCode>
                <c:ptCount val="2"/>
                <c:pt idx="0">
                  <c:v>1271.4549287630005</c:v>
                </c:pt>
                <c:pt idx="1">
                  <c:v>1136.4549287630005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10-4A47-9405-6440080A2ECF}"/>
            </c:ext>
          </c:extLst>
        </c:ser>
        <c:ser>
          <c:idx val="6"/>
          <c:order val="6"/>
          <c:tx>
            <c:v>Bf_s1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résultats'!$AJ$34:$AK$34</c:f>
              <c:numCache>
                <c:formatCode>General</c:formatCode>
                <c:ptCount val="2"/>
                <c:pt idx="0">
                  <c:v>65.655814749794132</c:v>
                </c:pt>
                <c:pt idx="1">
                  <c:v>251.58584910929395</c:v>
                </c:pt>
              </c:numCache>
            </c:numRef>
          </c:xVal>
          <c:yVal>
            <c:numRef>
              <c:f>'Données et résultats'!$AJ$35:$AK$35</c:f>
              <c:numCache>
                <c:formatCode>General</c:formatCode>
                <c:ptCount val="2"/>
                <c:pt idx="0">
                  <c:v>1305.3950161057758</c:v>
                </c:pt>
                <c:pt idx="1">
                  <c:v>1271.4549287630005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10-4A47-9405-6440080A2ECF}"/>
            </c:ext>
          </c:extLst>
        </c:ser>
        <c:ser>
          <c:idx val="7"/>
          <c:order val="7"/>
          <c:tx>
            <c:v>Ce_s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résultats'!$AJ$32:$AK$32</c:f>
              <c:numCache>
                <c:formatCode>General</c:formatCode>
                <c:ptCount val="2"/>
                <c:pt idx="0">
                  <c:v>21.714200000000002</c:v>
                </c:pt>
                <c:pt idx="1">
                  <c:v>8.5250000000000004</c:v>
                </c:pt>
              </c:numCache>
            </c:numRef>
          </c:xVal>
          <c:yVal>
            <c:numRef>
              <c:f>'Données et résultats'!$AJ$33:$AK$33</c:f>
              <c:numCache>
                <c:formatCode>General</c:formatCode>
                <c:ptCount val="2"/>
                <c:pt idx="0">
                  <c:v>1093.7658355227752</c:v>
                </c:pt>
                <c:pt idx="1">
                  <c:v>1257.2346246030152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10-4A47-9405-6440080A2ECF}"/>
            </c:ext>
          </c:extLst>
        </c:ser>
        <c:ser>
          <c:idx val="8"/>
          <c:order val="8"/>
          <c:tx>
            <c:v>Bf_s2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résultats'!$AJ$36:$AK$36</c:f>
              <c:numCache>
                <c:formatCode>General</c:formatCode>
                <c:ptCount val="2"/>
                <c:pt idx="0">
                  <c:v>65.655814749794132</c:v>
                </c:pt>
                <c:pt idx="1">
                  <c:v>8.5250000000000004</c:v>
                </c:pt>
              </c:numCache>
            </c:numRef>
          </c:xVal>
          <c:yVal>
            <c:numRef>
              <c:f>'Données et résultats'!$AJ$37:$AK$37</c:f>
              <c:numCache>
                <c:formatCode>General</c:formatCode>
                <c:ptCount val="2"/>
                <c:pt idx="0">
                  <c:v>1305.3950161057758</c:v>
                </c:pt>
                <c:pt idx="1">
                  <c:v>1257.2346246030152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210-4A47-9405-6440080A2ECF}"/>
            </c:ext>
          </c:extLst>
        </c:ser>
        <c:ser>
          <c:idx val="9"/>
          <c:order val="9"/>
          <c:tx>
            <c:v>max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résultats'!$C$21</c:f>
              <c:numCache>
                <c:formatCode>0</c:formatCode>
                <c:ptCount val="1"/>
                <c:pt idx="0">
                  <c:v>1510</c:v>
                </c:pt>
              </c:numCache>
            </c:numRef>
          </c:xVal>
          <c:yVal>
            <c:numRef>
              <c:f>'Données et résultats'!$C$21</c:f>
              <c:numCache>
                <c:formatCode>0</c:formatCode>
                <c:ptCount val="1"/>
                <c:pt idx="0">
                  <c:v>1510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210-4A47-9405-6440080A2ECF}"/>
            </c:ext>
          </c:extLst>
        </c:ser>
        <c:ser>
          <c:idx val="10"/>
          <c:order val="10"/>
          <c:tx>
            <c:v>limite aile/fus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résultats'!$AJ$18:$AK$18</c:f>
              <c:numCache>
                <c:formatCode>General</c:formatCode>
                <c:ptCount val="2"/>
                <c:pt idx="0">
                  <c:v>85.003863026827148</c:v>
                </c:pt>
                <c:pt idx="1">
                  <c:v>85.003863026827148</c:v>
                </c:pt>
              </c:numCache>
            </c:numRef>
          </c:xVal>
          <c:yVal>
            <c:numRef>
              <c:f>'Données et résultats'!$AJ$19:$AK$19</c:f>
              <c:numCache>
                <c:formatCode>General</c:formatCode>
                <c:ptCount val="2"/>
                <c:pt idx="0">
                  <c:v>689.25066185075559</c:v>
                </c:pt>
                <c:pt idx="1">
                  <c:v>306.32677586245688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210-4A47-9405-6440080A2ECF}"/>
            </c:ext>
          </c:extLst>
        </c:ser>
        <c:ser>
          <c:idx val="11"/>
          <c:order val="11"/>
          <c:tx>
            <c:v>limite stab/fus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résultats'!$AJ$38:$AK$38</c:f>
              <c:numCache>
                <c:formatCode>General</c:formatCode>
                <c:ptCount val="2"/>
                <c:pt idx="0">
                  <c:v>21.714200000000002</c:v>
                </c:pt>
                <c:pt idx="1">
                  <c:v>21.714200000000002</c:v>
                </c:pt>
              </c:numCache>
            </c:numRef>
          </c:xVal>
          <c:yVal>
            <c:numRef>
              <c:f>'Données et résultats'!$AJ$39:$AK$39</c:f>
              <c:numCache>
                <c:formatCode>General</c:formatCode>
                <c:ptCount val="2"/>
                <c:pt idx="0">
                  <c:v>1268.3529158157357</c:v>
                </c:pt>
                <c:pt idx="1">
                  <c:v>1093.7658355227752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210-4A47-9405-6440080A2ECF}"/>
            </c:ext>
          </c:extLst>
        </c:ser>
        <c:ser>
          <c:idx val="12"/>
          <c:order val="12"/>
          <c:tx>
            <c:v>Limite s1-s2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résultats'!$AJ$40:$AK$40</c:f>
              <c:numCache>
                <c:formatCode>General</c:formatCode>
                <c:ptCount val="2"/>
                <c:pt idx="0">
                  <c:v>65.655814749794132</c:v>
                </c:pt>
                <c:pt idx="1">
                  <c:v>65.655814749794132</c:v>
                </c:pt>
              </c:numCache>
            </c:numRef>
          </c:xVal>
          <c:yVal>
            <c:numRef>
              <c:f>'Données et résultats'!$AJ$41:$AK$41</c:f>
              <c:numCache>
                <c:formatCode>General</c:formatCode>
                <c:ptCount val="2"/>
                <c:pt idx="0">
                  <c:v>1101.9325354735226</c:v>
                </c:pt>
                <c:pt idx="1">
                  <c:v>1305.3950161057758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210-4A47-9405-6440080A2ECF}"/>
            </c:ext>
          </c:extLst>
        </c:ser>
        <c:ser>
          <c:idx val="13"/>
          <c:order val="13"/>
          <c:tx>
            <c:v>Ce_s_rel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résultats'!$AJ$44:$AK$44</c:f>
              <c:numCache>
                <c:formatCode>General</c:formatCode>
                <c:ptCount val="2"/>
                <c:pt idx="0">
                  <c:v>21.714200000000002</c:v>
                </c:pt>
                <c:pt idx="1">
                  <c:v>21.714200000000002</c:v>
                </c:pt>
              </c:numCache>
            </c:numRef>
          </c:xVal>
          <c:yVal>
            <c:numRef>
              <c:f>'Données et résultats'!$AJ$45:$AK$45</c:f>
              <c:numCache>
                <c:formatCode>General</c:formatCode>
                <c:ptCount val="2"/>
                <c:pt idx="0">
                  <c:v>1093.7658355227752</c:v>
                </c:pt>
                <c:pt idx="1">
                  <c:v>1304.7956705375402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210-4A47-9405-6440080A2ECF}"/>
            </c:ext>
          </c:extLst>
        </c:ser>
        <c:ser>
          <c:idx val="14"/>
          <c:order val="14"/>
          <c:tx>
            <c:v>Bf_s_rel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résultats'!$AJ$46:$AK$46</c:f>
              <c:numCache>
                <c:formatCode>General</c:formatCode>
                <c:ptCount val="2"/>
                <c:pt idx="0">
                  <c:v>251.58584910929395</c:v>
                </c:pt>
                <c:pt idx="1">
                  <c:v>21.714200000000002</c:v>
                </c:pt>
              </c:numCache>
            </c:numRef>
          </c:xVal>
          <c:yVal>
            <c:numRef>
              <c:f>'Données et résultats'!$AJ$47:$AK$47</c:f>
              <c:numCache>
                <c:formatCode>General</c:formatCode>
                <c:ptCount val="2"/>
                <c:pt idx="0">
                  <c:v>1271.4549287630005</c:v>
                </c:pt>
                <c:pt idx="1">
                  <c:v>1304.7956705375402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210-4A47-9405-6440080A2ECF}"/>
            </c:ext>
          </c:extLst>
        </c:ser>
        <c:ser>
          <c:idx val="15"/>
          <c:order val="15"/>
          <c:tx>
            <c:v>Cm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résultats'!$AJ$22:$AK$22</c:f>
              <c:numCache>
                <c:formatCode>General</c:formatCode>
                <c:ptCount val="2"/>
                <c:pt idx="0">
                  <c:v>401.49397219585006</c:v>
                </c:pt>
                <c:pt idx="1">
                  <c:v>401.49397219585006</c:v>
                </c:pt>
              </c:numCache>
            </c:numRef>
          </c:xVal>
          <c:yVal>
            <c:numRef>
              <c:f>'Données et résultats'!$AJ$23:$AK$23</c:f>
              <c:numCache>
                <c:formatCode>General</c:formatCode>
                <c:ptCount val="2"/>
                <c:pt idx="0">
                  <c:v>329.87313128388701</c:v>
                </c:pt>
                <c:pt idx="1">
                  <c:v>622.99506107879097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210-4A47-9405-6440080A2ECF}"/>
            </c:ext>
          </c:extLst>
        </c:ser>
        <c:ser>
          <c:idx val="16"/>
          <c:order val="16"/>
          <c:tx>
            <c:v>Cm_s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résultats'!$AJ$49:$AK$49</c:f>
              <c:numCache>
                <c:formatCode>General</c:formatCode>
                <c:ptCount val="2"/>
                <c:pt idx="0">
                  <c:v>128.23210708634264</c:v>
                </c:pt>
                <c:pt idx="1">
                  <c:v>128.23210708634264</c:v>
                </c:pt>
              </c:numCache>
            </c:numRef>
          </c:xVal>
          <c:yVal>
            <c:numRef>
              <c:f>'Données et résultats'!$AJ$50:$AK$50</c:f>
              <c:numCache>
                <c:formatCode>General</c:formatCode>
                <c:ptCount val="2"/>
                <c:pt idx="0">
                  <c:v>1113.8246943168267</c:v>
                </c:pt>
                <c:pt idx="1">
                  <c:v>1289.2147130426019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5210-4A47-9405-6440080A2ECF}"/>
            </c:ext>
          </c:extLst>
        </c:ser>
        <c:ser>
          <c:idx val="17"/>
          <c:order val="17"/>
          <c:tx>
            <c:v>CG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'Données et résultats'!$AJ$25:$AK$25</c:f>
              <c:numCache>
                <c:formatCode>General</c:formatCode>
                <c:ptCount val="2"/>
                <c:pt idx="0">
                  <c:v>0</c:v>
                </c:pt>
                <c:pt idx="1">
                  <c:v>1510</c:v>
                </c:pt>
              </c:numCache>
            </c:numRef>
          </c:xVal>
          <c:yVal>
            <c:numRef>
              <c:f>'Données et résultats'!$AJ$26:$AK$26</c:f>
              <c:numCache>
                <c:formatCode>General</c:formatCode>
                <c:ptCount val="2"/>
                <c:pt idx="0">
                  <c:v>433.69514566713707</c:v>
                </c:pt>
                <c:pt idx="1">
                  <c:v>433.69514566713707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210-4A47-9405-6440080A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944864"/>
        <c:axId val="1418942544"/>
      </c:scatterChart>
      <c:valAx>
        <c:axId val="14189448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8942544"/>
        <c:crosses val="autoZero"/>
        <c:crossBetween val="midCat"/>
      </c:valAx>
      <c:valAx>
        <c:axId val="1418942544"/>
        <c:scaling>
          <c:orientation val="maxMin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8944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736600</xdr:colOff>
      <xdr:row>3</xdr:row>
      <xdr:rowOff>12700</xdr:rowOff>
    </xdr:from>
    <xdr:to>
      <xdr:col>39</xdr:col>
      <xdr:colOff>215900</xdr:colOff>
      <xdr:row>5</xdr:row>
      <xdr:rowOff>177800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9900" y="495300"/>
          <a:ext cx="2781300" cy="660400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114300</xdr:colOff>
      <xdr:row>3</xdr:row>
      <xdr:rowOff>76200</xdr:rowOff>
    </xdr:from>
    <xdr:to>
      <xdr:col>35</xdr:col>
      <xdr:colOff>558800</xdr:colOff>
      <xdr:row>5</xdr:row>
      <xdr:rowOff>177800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73700" y="558800"/>
          <a:ext cx="3746500" cy="596900"/>
        </a:xfrm>
        <a:prstGeom prst="rect">
          <a:avLst/>
        </a:prstGeom>
      </xdr:spPr>
    </xdr:pic>
    <xdr:clientData/>
  </xdr:twoCellAnchor>
  <xdr:twoCellAnchor>
    <xdr:from>
      <xdr:col>7</xdr:col>
      <xdr:colOff>12700</xdr:colOff>
      <xdr:row>6</xdr:row>
      <xdr:rowOff>19050</xdr:rowOff>
    </xdr:from>
    <xdr:to>
      <xdr:col>19</xdr:col>
      <xdr:colOff>812800</xdr:colOff>
      <xdr:row>50</xdr:row>
      <xdr:rowOff>241300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3</xdr:row>
      <xdr:rowOff>38100</xdr:rowOff>
    </xdr:from>
    <xdr:to>
      <xdr:col>11</xdr:col>
      <xdr:colOff>457200</xdr:colOff>
      <xdr:row>6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8184CF-8CF4-DA40-BD07-7FF11C5B9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6400" y="647700"/>
          <a:ext cx="2781300" cy="660400"/>
        </a:xfrm>
        <a:prstGeom prst="rect">
          <a:avLst/>
        </a:prstGeom>
      </xdr:spPr>
    </xdr:pic>
    <xdr:clientData/>
  </xdr:twoCellAnchor>
  <xdr:twoCellAnchor editAs="oneCell">
    <xdr:from>
      <xdr:col>3</xdr:col>
      <xdr:colOff>393700</xdr:colOff>
      <xdr:row>3</xdr:row>
      <xdr:rowOff>101600</xdr:rowOff>
    </xdr:from>
    <xdr:to>
      <xdr:col>7</xdr:col>
      <xdr:colOff>50800</xdr:colOff>
      <xdr:row>6</xdr:row>
      <xdr:rowOff>88900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006544E-1606-7E44-810B-35E247F76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0200" y="711200"/>
          <a:ext cx="3746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51"/>
  <sheetViews>
    <sheetView tabSelected="1" workbookViewId="0">
      <selection activeCell="B14" sqref="B14"/>
    </sheetView>
  </sheetViews>
  <sheetFormatPr baseColWidth="10" defaultRowHeight="19" x14ac:dyDescent="0.25"/>
  <cols>
    <col min="1" max="1" width="4.83203125" customWidth="1"/>
    <col min="2" max="2" width="36.1640625" style="1" bestFit="1" customWidth="1"/>
    <col min="3" max="3" width="10.83203125" style="1"/>
    <col min="4" max="4" width="13.33203125" style="1" customWidth="1"/>
    <col min="5" max="5" width="14.1640625" customWidth="1"/>
    <col min="6" max="6" width="21.5" customWidth="1"/>
    <col min="8" max="8" width="10.83203125" customWidth="1"/>
    <col min="11" max="11" width="12.1640625" bestFit="1" customWidth="1"/>
    <col min="12" max="12" width="12.5" bestFit="1" customWidth="1"/>
    <col min="13" max="13" width="8.83203125" customWidth="1"/>
    <col min="14" max="14" width="6.1640625" customWidth="1"/>
    <col min="15" max="15" width="16.83203125" customWidth="1"/>
    <col min="17" max="17" width="10.83203125" customWidth="1"/>
    <col min="19" max="19" width="11.6640625" bestFit="1" customWidth="1"/>
    <col min="20" max="20" width="12.83203125" bestFit="1" customWidth="1"/>
    <col min="21" max="21" width="12" bestFit="1" customWidth="1"/>
    <col min="22" max="22" width="9.1640625" style="2" customWidth="1"/>
  </cols>
  <sheetData>
    <row r="1" spans="2:40" ht="20" thickBot="1" x14ac:dyDescent="0.3"/>
    <row r="2" spans="2:40" x14ac:dyDescent="0.25">
      <c r="B2" s="74" t="s">
        <v>5</v>
      </c>
      <c r="C2" s="93" t="s">
        <v>8</v>
      </c>
      <c r="D2" s="93" t="s">
        <v>76</v>
      </c>
      <c r="E2" s="97"/>
      <c r="F2" s="76"/>
      <c r="I2" s="116"/>
      <c r="J2" s="117"/>
      <c r="K2" s="117"/>
      <c r="L2" s="118" t="s">
        <v>63</v>
      </c>
      <c r="M2" s="119">
        <f>25+C51+E13-E7</f>
        <v>35.4193950810483</v>
      </c>
      <c r="N2" s="120" t="s">
        <v>68</v>
      </c>
      <c r="O2" s="76"/>
      <c r="Q2" s="147"/>
      <c r="R2" s="147"/>
      <c r="S2" s="147"/>
      <c r="T2" s="148"/>
    </row>
    <row r="3" spans="2:40" ht="20" thickBot="1" x14ac:dyDescent="0.3">
      <c r="B3" s="98"/>
      <c r="C3" s="146">
        <f>IF(D3=1,0,1)</f>
        <v>1</v>
      </c>
      <c r="D3" s="141">
        <v>0</v>
      </c>
      <c r="E3" s="99"/>
      <c r="F3" s="92"/>
      <c r="I3" s="121"/>
      <c r="J3" s="122"/>
      <c r="K3" s="122"/>
      <c r="L3" s="123" t="s">
        <v>82</v>
      </c>
      <c r="M3" s="124">
        <f>(AJ26-AJ11)/COS(C29*PI()/180)</f>
        <v>127.71874722298277</v>
      </c>
      <c r="N3" s="125" t="s">
        <v>9</v>
      </c>
      <c r="O3" s="126" t="s">
        <v>75</v>
      </c>
      <c r="Q3" s="147"/>
      <c r="R3" s="149"/>
      <c r="S3" s="149"/>
      <c r="T3" s="148"/>
      <c r="AF3" s="3"/>
      <c r="AG3" s="12"/>
      <c r="AH3" s="11"/>
      <c r="AI3" s="11"/>
      <c r="AJ3" s="11" t="s">
        <v>56</v>
      </c>
      <c r="AK3" s="11"/>
      <c r="AL3" s="11"/>
      <c r="AM3" s="11"/>
      <c r="AN3" s="4"/>
    </row>
    <row r="4" spans="2:40" ht="20" thickBot="1" x14ac:dyDescent="0.3">
      <c r="I4" s="127"/>
      <c r="J4" s="128"/>
      <c r="K4" s="128"/>
      <c r="L4" s="129" t="s">
        <v>83</v>
      </c>
      <c r="M4" s="130">
        <f>AJ26-AK11</f>
        <v>74.06609876741112</v>
      </c>
      <c r="N4" s="131" t="s">
        <v>9</v>
      </c>
      <c r="O4" s="132"/>
      <c r="AF4" s="5"/>
      <c r="AG4" s="14"/>
      <c r="AH4" s="13"/>
      <c r="AI4" s="13"/>
      <c r="AJ4" s="13"/>
      <c r="AK4" s="13"/>
      <c r="AL4" s="13"/>
      <c r="AM4" s="13"/>
      <c r="AN4" s="6"/>
    </row>
    <row r="5" spans="2:40" x14ac:dyDescent="0.25">
      <c r="B5" s="74" t="s">
        <v>70</v>
      </c>
      <c r="C5" s="93" t="s">
        <v>73</v>
      </c>
      <c r="D5" s="93" t="s">
        <v>71</v>
      </c>
      <c r="E5" s="93" t="s">
        <v>72</v>
      </c>
      <c r="F5" s="76"/>
      <c r="AF5" s="5"/>
      <c r="AG5" s="14"/>
      <c r="AH5" s="13"/>
      <c r="AI5" s="13"/>
      <c r="AJ5" s="13"/>
      <c r="AK5" s="13"/>
      <c r="AL5" s="13"/>
      <c r="AM5" s="13"/>
      <c r="AN5" s="6"/>
    </row>
    <row r="6" spans="2:40" x14ac:dyDescent="0.25">
      <c r="B6" s="94"/>
      <c r="C6" s="140">
        <v>0</v>
      </c>
      <c r="D6" s="140">
        <v>0</v>
      </c>
      <c r="E6" s="140">
        <v>1</v>
      </c>
      <c r="F6" s="95" t="str">
        <f>IF(OR(SUM(C6:E6)&gt;1,SUM(C6:E6)=0),"1 seul type","OK")</f>
        <v>OK</v>
      </c>
      <c r="AF6" s="7"/>
      <c r="AG6" s="16"/>
      <c r="AH6" s="15"/>
      <c r="AI6" s="15"/>
      <c r="AJ6" s="15"/>
      <c r="AK6" s="15"/>
      <c r="AL6" s="15"/>
      <c r="AM6" s="15"/>
      <c r="AN6" s="8"/>
    </row>
    <row r="7" spans="2:40" ht="20" thickBot="1" x14ac:dyDescent="0.3">
      <c r="B7" s="88" t="s">
        <v>69</v>
      </c>
      <c r="C7" s="89" t="str">
        <f>IF(C6&gt;0,10,"")</f>
        <v/>
      </c>
      <c r="D7" s="89" t="str">
        <f>IF(D6&gt;0,5,"")</f>
        <v/>
      </c>
      <c r="E7" s="89">
        <f>IF(E6=0,"",0)</f>
        <v>0</v>
      </c>
      <c r="F7" s="96" t="s">
        <v>68</v>
      </c>
    </row>
    <row r="8" spans="2:40" x14ac:dyDescent="0.25">
      <c r="AI8" s="2"/>
      <c r="AM8" s="9" t="s">
        <v>55</v>
      </c>
      <c r="AN8" s="10"/>
    </row>
    <row r="9" spans="2:40" ht="20" thickBot="1" x14ac:dyDescent="0.3">
      <c r="AF9" s="40"/>
      <c r="AG9" s="41"/>
      <c r="AH9" s="41" t="s">
        <v>30</v>
      </c>
      <c r="AI9" s="42"/>
      <c r="AJ9" s="41"/>
      <c r="AK9" s="41"/>
      <c r="AL9" s="43"/>
      <c r="AM9" s="48" t="s">
        <v>45</v>
      </c>
      <c r="AN9" s="6" t="s">
        <v>46</v>
      </c>
    </row>
    <row r="10" spans="2:40" x14ac:dyDescent="0.25">
      <c r="B10" s="74" t="s">
        <v>2</v>
      </c>
      <c r="C10" s="75"/>
      <c r="D10" s="75"/>
      <c r="E10" s="75"/>
      <c r="F10" s="76"/>
      <c r="AF10" s="32"/>
      <c r="AG10" s="33" t="s">
        <v>27</v>
      </c>
      <c r="AH10" s="33">
        <f>C16/2*COS(C29/180*PI())</f>
        <v>85.003863026827148</v>
      </c>
      <c r="AI10" s="34" t="s">
        <v>15</v>
      </c>
      <c r="AJ10" s="33">
        <f>AH10</f>
        <v>85.003863026827148</v>
      </c>
      <c r="AK10" s="33">
        <f>AJ10+C31*COS(-C29/180*PI())</f>
        <v>803.12049727552596</v>
      </c>
      <c r="AL10" s="35" t="s">
        <v>20</v>
      </c>
      <c r="AM10" s="51">
        <f>TAN(((AK11-AJ11)/(AK10-AJ10)))</f>
        <v>7.4361701000071279E-2</v>
      </c>
      <c r="AN10" s="35">
        <f>AJ11-((AK11-AJ11)/(AK10-AJ10))*AJ10</f>
        <v>300.01735657012824</v>
      </c>
    </row>
    <row r="11" spans="2:40" x14ac:dyDescent="0.25">
      <c r="B11" s="77"/>
      <c r="C11" s="66" t="s">
        <v>65</v>
      </c>
      <c r="D11" s="66" t="s">
        <v>8</v>
      </c>
      <c r="E11" s="66" t="s">
        <v>66</v>
      </c>
      <c r="F11" s="78"/>
      <c r="AF11" s="32"/>
      <c r="AG11" s="33"/>
      <c r="AH11" s="33">
        <f>C16/2*TAN(C29/180*PI())</f>
        <v>6.3267758624568629</v>
      </c>
      <c r="AI11" s="34"/>
      <c r="AJ11" s="33">
        <f>C14+AH11</f>
        <v>306.32677586245688</v>
      </c>
      <c r="AK11" s="33">
        <f>AJ11-C31*SIN(-C29/180*PI())</f>
        <v>359.62904689972595</v>
      </c>
      <c r="AL11" s="35" t="s">
        <v>21</v>
      </c>
      <c r="AM11" s="49"/>
      <c r="AN11" s="6"/>
    </row>
    <row r="12" spans="2:40" x14ac:dyDescent="0.25">
      <c r="B12" s="79" t="s">
        <v>64</v>
      </c>
      <c r="C12" s="142">
        <v>0</v>
      </c>
      <c r="D12" s="142">
        <v>1</v>
      </c>
      <c r="E12" s="142">
        <v>0</v>
      </c>
      <c r="F12" s="80" t="str">
        <f>IF(OR(SUM(C12:E12)&gt;1,SUM(C12:E12)=0),"1 seul type","OK")</f>
        <v>OK</v>
      </c>
      <c r="AF12" s="32"/>
      <c r="AG12" s="33"/>
      <c r="AH12" s="33"/>
      <c r="AI12" s="34" t="s">
        <v>18</v>
      </c>
      <c r="AJ12" s="33">
        <f>AK16</f>
        <v>803.12049727552596</v>
      </c>
      <c r="AK12" s="33">
        <f>AK10</f>
        <v>803.12049727552596</v>
      </c>
      <c r="AL12" s="35" t="s">
        <v>20</v>
      </c>
      <c r="AM12" s="49"/>
      <c r="AN12" s="6"/>
    </row>
    <row r="13" spans="2:40" x14ac:dyDescent="0.25">
      <c r="B13" s="81" t="s">
        <v>67</v>
      </c>
      <c r="C13" s="65"/>
      <c r="D13" s="65"/>
      <c r="E13" s="71">
        <f>C12*5+D12*10+E12*15</f>
        <v>10</v>
      </c>
      <c r="F13" s="82" t="s">
        <v>68</v>
      </c>
      <c r="AF13" s="32"/>
      <c r="AG13" s="33"/>
      <c r="AH13" s="33"/>
      <c r="AI13" s="34"/>
      <c r="AJ13" s="33">
        <f>AK11+C28</f>
        <v>541.62904689972595</v>
      </c>
      <c r="AK13" s="33">
        <f>AK11</f>
        <v>359.62904689972595</v>
      </c>
      <c r="AL13" s="35" t="s">
        <v>21</v>
      </c>
      <c r="AM13" s="49"/>
      <c r="AN13" s="6"/>
    </row>
    <row r="14" spans="2:40" x14ac:dyDescent="0.25">
      <c r="B14" s="83" t="s">
        <v>23</v>
      </c>
      <c r="C14" s="143">
        <v>300</v>
      </c>
      <c r="D14" s="72" t="s">
        <v>9</v>
      </c>
      <c r="E14" s="70" t="s">
        <v>77</v>
      </c>
      <c r="F14" s="84"/>
      <c r="AF14" s="32" t="s">
        <v>12</v>
      </c>
      <c r="AG14" s="33">
        <f>ASIN((C16-C17)/2/C27)*180/PI()</f>
        <v>4.6054962402073043</v>
      </c>
      <c r="AH14" s="33" t="s">
        <v>14</v>
      </c>
      <c r="AI14" s="34" t="s">
        <v>17</v>
      </c>
      <c r="AJ14" s="33">
        <f>AJ10</f>
        <v>85.003863026827148</v>
      </c>
      <c r="AK14" s="33">
        <f>C17/2</f>
        <v>53.878</v>
      </c>
      <c r="AL14" s="35" t="s">
        <v>20</v>
      </c>
      <c r="AM14" s="51">
        <f>TAN(((AK15-AJ15)/(AK14-AJ14)))</f>
        <v>5.9244159878135069E-2</v>
      </c>
      <c r="AN14" s="35">
        <f>AJ15-((AK15-AJ15)/(AK14-AJ14))*AJ14</f>
        <v>1369.4867193635932</v>
      </c>
    </row>
    <row r="15" spans="2:40" x14ac:dyDescent="0.25">
      <c r="B15" s="83" t="s">
        <v>24</v>
      </c>
      <c r="C15" s="143">
        <v>1089.7397000000001</v>
      </c>
      <c r="D15" s="72" t="s">
        <v>9</v>
      </c>
      <c r="E15" s="70" t="s">
        <v>77</v>
      </c>
      <c r="F15" s="84"/>
      <c r="AF15" s="32"/>
      <c r="AG15" s="33"/>
      <c r="AH15" s="33"/>
      <c r="AI15" s="34"/>
      <c r="AJ15" s="33">
        <f>AJ11</f>
        <v>306.32677586245688</v>
      </c>
      <c r="AK15" s="33">
        <f>AJ15+COS((AG14)/180*PI())*C27</f>
        <v>695.62403364216425</v>
      </c>
      <c r="AL15" s="35" t="s">
        <v>21</v>
      </c>
      <c r="AM15" s="49"/>
      <c r="AN15" s="6"/>
    </row>
    <row r="16" spans="2:40" x14ac:dyDescent="0.25">
      <c r="B16" s="85" t="s">
        <v>28</v>
      </c>
      <c r="C16" s="143">
        <v>170.47540000000001</v>
      </c>
      <c r="D16" s="72" t="s">
        <v>9</v>
      </c>
      <c r="E16" s="15"/>
      <c r="F16" s="84"/>
      <c r="AF16" s="32"/>
      <c r="AG16" s="33" t="s">
        <v>26</v>
      </c>
      <c r="AH16" s="33">
        <f>C17/2/COS(C30/180*PI())</f>
        <v>54.995879360526104</v>
      </c>
      <c r="AI16" s="34" t="s">
        <v>16</v>
      </c>
      <c r="AJ16" s="33">
        <f>C17/2</f>
        <v>53.878</v>
      </c>
      <c r="AK16" s="33">
        <f>AK10</f>
        <v>803.12049727552596</v>
      </c>
      <c r="AL16" s="35" t="s">
        <v>20</v>
      </c>
      <c r="AM16" s="51">
        <f>TAN(((AK17-AJ17)/(AK16-AJ16)))</f>
        <v>-0.20847821413501072</v>
      </c>
      <c r="AN16" s="35">
        <f>AJ17-((AK17-AJ17)/(AK16-AJ16))*AJ16</f>
        <v>706.69780738815348</v>
      </c>
    </row>
    <row r="17" spans="2:40" x14ac:dyDescent="0.25">
      <c r="B17" s="85" t="s">
        <v>29</v>
      </c>
      <c r="C17" s="143">
        <v>107.756</v>
      </c>
      <c r="D17" s="72" t="s">
        <v>9</v>
      </c>
      <c r="E17" s="69"/>
      <c r="F17" s="84"/>
      <c r="AF17" s="32"/>
      <c r="AG17" s="33"/>
      <c r="AH17" s="33">
        <f>C17/2*-TAN(C30/180*PI())</f>
        <v>11.032128653960731</v>
      </c>
      <c r="AI17" s="34"/>
      <c r="AJ17" s="33">
        <f>AK15</f>
        <v>695.62403364216425</v>
      </c>
      <c r="AK17" s="33">
        <f>AJ13</f>
        <v>541.62904689972595</v>
      </c>
      <c r="AL17" s="35" t="s">
        <v>21</v>
      </c>
      <c r="AM17" s="49"/>
      <c r="AN17" s="6"/>
    </row>
    <row r="18" spans="2:40" x14ac:dyDescent="0.25">
      <c r="B18" s="133" t="s">
        <v>19</v>
      </c>
      <c r="C18" s="134">
        <f>C15-C14</f>
        <v>789.73970000000008</v>
      </c>
      <c r="D18" s="71" t="s">
        <v>9</v>
      </c>
      <c r="E18" s="70" t="s">
        <v>77</v>
      </c>
      <c r="F18" s="84"/>
      <c r="AF18" s="32"/>
      <c r="AG18" s="33"/>
      <c r="AH18" s="33"/>
      <c r="AI18" s="34" t="s">
        <v>37</v>
      </c>
      <c r="AJ18" s="33">
        <f>AJ10</f>
        <v>85.003863026827148</v>
      </c>
      <c r="AK18" s="33">
        <f>AJ10</f>
        <v>85.003863026827148</v>
      </c>
      <c r="AL18" s="35" t="s">
        <v>20</v>
      </c>
      <c r="AM18" s="49"/>
      <c r="AN18" s="6"/>
    </row>
    <row r="19" spans="2:40" x14ac:dyDescent="0.25">
      <c r="B19" s="83" t="s">
        <v>34</v>
      </c>
      <c r="C19" s="143">
        <v>43.428400000000003</v>
      </c>
      <c r="D19" s="72" t="s">
        <v>9</v>
      </c>
      <c r="E19" s="69"/>
      <c r="F19" s="84"/>
      <c r="AF19" s="32"/>
      <c r="AG19" s="33"/>
      <c r="AH19" s="33"/>
      <c r="AI19" s="34"/>
      <c r="AJ19" s="33">
        <f>TAN(C30*PI()/180)*AJ18+(AK15-(TAN(C30*PI()/180)*AK14))</f>
        <v>689.25066185075559</v>
      </c>
      <c r="AK19" s="33">
        <f>AJ15</f>
        <v>306.32677586245688</v>
      </c>
      <c r="AL19" s="35" t="s">
        <v>21</v>
      </c>
      <c r="AM19" s="49"/>
      <c r="AN19" s="6"/>
    </row>
    <row r="20" spans="2:40" x14ac:dyDescent="0.25">
      <c r="B20" s="85" t="s">
        <v>35</v>
      </c>
      <c r="C20" s="144">
        <v>17.05</v>
      </c>
      <c r="D20" s="72" t="s">
        <v>9</v>
      </c>
      <c r="E20" s="69"/>
      <c r="F20" s="84"/>
      <c r="AF20" s="32"/>
      <c r="AG20" s="33"/>
      <c r="AH20" s="33"/>
      <c r="AI20" s="34" t="s">
        <v>42</v>
      </c>
      <c r="AJ20" s="33">
        <f>ABS(AK10-AJ10)*(ABS(AJ13-AK13)+ABS(AK15-AJ15))/10000</f>
        <v>41.025806391227469</v>
      </c>
      <c r="AK20" s="33" t="s">
        <v>41</v>
      </c>
      <c r="AL20" s="35"/>
      <c r="AM20" s="49"/>
      <c r="AN20" s="6"/>
    </row>
    <row r="21" spans="2:40" x14ac:dyDescent="0.25">
      <c r="B21" s="83" t="s">
        <v>36</v>
      </c>
      <c r="C21" s="143">
        <v>1510</v>
      </c>
      <c r="D21" s="72" t="s">
        <v>9</v>
      </c>
      <c r="E21" s="69"/>
      <c r="F21" s="84"/>
      <c r="AF21" s="32"/>
      <c r="AG21" s="33"/>
      <c r="AH21" s="33"/>
      <c r="AI21" s="34" t="s">
        <v>50</v>
      </c>
      <c r="AJ21" s="33">
        <f>(AK12-AK18)/(1+(ABS(AJ13-AK13)*2+ABS(AJ19-AK19))/(ABS(AJ13-AK13)+ABS(AJ19-AK19)*2))</f>
        <v>401.6265250796759</v>
      </c>
      <c r="AK21" s="33" t="s">
        <v>9</v>
      </c>
      <c r="AL21" s="35"/>
      <c r="AM21" s="49"/>
      <c r="AN21" s="6"/>
    </row>
    <row r="22" spans="2:40" x14ac:dyDescent="0.25">
      <c r="B22" s="86" t="s">
        <v>58</v>
      </c>
      <c r="C22" s="139">
        <f>AJ51-AJ24</f>
        <v>754.51858526565752</v>
      </c>
      <c r="D22" s="64" t="s">
        <v>9</v>
      </c>
      <c r="E22" s="15"/>
      <c r="F22" s="87"/>
      <c r="AF22" s="32"/>
      <c r="AG22" s="33"/>
      <c r="AH22" s="33"/>
      <c r="AI22" s="34" t="s">
        <v>49</v>
      </c>
      <c r="AJ22" s="33">
        <f>AJ12-AJ21</f>
        <v>401.49397219585006</v>
      </c>
      <c r="AK22" s="33">
        <f>AJ22</f>
        <v>401.49397219585006</v>
      </c>
      <c r="AL22" s="35" t="s">
        <v>20</v>
      </c>
      <c r="AM22" s="49"/>
      <c r="AN22" s="6"/>
    </row>
    <row r="23" spans="2:40" ht="20" thickBot="1" x14ac:dyDescent="0.3">
      <c r="B23" s="88" t="s">
        <v>60</v>
      </c>
      <c r="C23" s="137">
        <f>C47/C33*C22/C34</f>
        <v>0.49907229499510997</v>
      </c>
      <c r="D23" s="90"/>
      <c r="E23" s="91"/>
      <c r="F23" s="92"/>
      <c r="AF23" s="36"/>
      <c r="AG23" s="37"/>
      <c r="AH23" s="37"/>
      <c r="AI23" s="38" t="s">
        <v>52</v>
      </c>
      <c r="AJ23" s="37">
        <f>AM10*AJ22+AN10</f>
        <v>329.87313128388701</v>
      </c>
      <c r="AK23" s="37">
        <f>AM16*AK22+AN16</f>
        <v>622.99506107879097</v>
      </c>
      <c r="AL23" s="39" t="s">
        <v>53</v>
      </c>
      <c r="AM23" s="49"/>
      <c r="AN23" s="6"/>
    </row>
    <row r="24" spans="2:40" x14ac:dyDescent="0.25">
      <c r="AF24" s="36"/>
      <c r="AG24" s="37"/>
      <c r="AH24" s="37"/>
      <c r="AI24" s="38" t="s">
        <v>57</v>
      </c>
      <c r="AJ24" s="37">
        <f>AJ23+(AK23-AJ23)*0.25</f>
        <v>403.153613732613</v>
      </c>
      <c r="AK24" s="37"/>
      <c r="AL24" s="39"/>
      <c r="AM24" s="49"/>
      <c r="AN24" s="6"/>
    </row>
    <row r="25" spans="2:40" x14ac:dyDescent="0.25">
      <c r="B25" s="100" t="s">
        <v>0</v>
      </c>
      <c r="C25" s="101" t="s">
        <v>80</v>
      </c>
      <c r="D25" s="102"/>
      <c r="E25" s="103"/>
      <c r="F25" s="104"/>
      <c r="AF25" s="53"/>
      <c r="AG25" s="54"/>
      <c r="AH25" s="54"/>
      <c r="AI25" s="55" t="s">
        <v>74</v>
      </c>
      <c r="AJ25" s="54">
        <v>0</v>
      </c>
      <c r="AK25" s="54">
        <f>C21</f>
        <v>1510</v>
      </c>
      <c r="AL25" s="56" t="s">
        <v>20</v>
      </c>
      <c r="AM25" s="57">
        <f>TAN(((AK26-AJ26)/(AK25-AJ25)))</f>
        <v>0</v>
      </c>
      <c r="AN25" s="58">
        <f>AJ26-((AK26-AJ26)/(AK25-AJ25))*AJ25</f>
        <v>433.69514566713707</v>
      </c>
    </row>
    <row r="26" spans="2:40" x14ac:dyDescent="0.25">
      <c r="B26" s="73" t="s">
        <v>1</v>
      </c>
      <c r="C26" s="143">
        <v>1606.7121</v>
      </c>
      <c r="D26" s="72" t="s">
        <v>9</v>
      </c>
      <c r="E26" s="69"/>
      <c r="F26" s="10"/>
      <c r="AF26" s="59"/>
      <c r="AG26" s="60"/>
      <c r="AH26" s="60"/>
      <c r="AI26" s="61"/>
      <c r="AJ26" s="60">
        <f>AJ23+(AK23-AJ23)*M2/100</f>
        <v>433.69514566713707</v>
      </c>
      <c r="AK26" s="60">
        <f>AJ26</f>
        <v>433.69514566713707</v>
      </c>
      <c r="AL26" s="62" t="s">
        <v>21</v>
      </c>
      <c r="AM26" s="63"/>
      <c r="AN26" s="63"/>
    </row>
    <row r="27" spans="2:40" x14ac:dyDescent="0.25">
      <c r="B27" s="73" t="s">
        <v>3</v>
      </c>
      <c r="C27" s="143">
        <v>390.55829999999997</v>
      </c>
      <c r="D27" s="72" t="s">
        <v>9</v>
      </c>
      <c r="E27" s="70" t="s">
        <v>75</v>
      </c>
      <c r="F27" s="10"/>
      <c r="AF27" s="44"/>
      <c r="AG27" s="45"/>
      <c r="AH27" s="45" t="s">
        <v>31</v>
      </c>
      <c r="AI27" s="46"/>
      <c r="AJ27" s="45"/>
      <c r="AK27" s="45"/>
      <c r="AL27" s="47"/>
      <c r="AM27" s="49"/>
      <c r="AN27" s="6"/>
    </row>
    <row r="28" spans="2:40" x14ac:dyDescent="0.25">
      <c r="B28" s="73" t="s">
        <v>4</v>
      </c>
      <c r="C28" s="144">
        <v>182</v>
      </c>
      <c r="D28" s="72" t="s">
        <v>9</v>
      </c>
      <c r="E28" s="69"/>
      <c r="F28" s="10"/>
      <c r="AF28" s="20"/>
      <c r="AG28" s="21" t="s">
        <v>27</v>
      </c>
      <c r="AH28" s="21">
        <f>C19/2*COS(C42/180*PI())</f>
        <v>21.35030358598134</v>
      </c>
      <c r="AI28" s="22" t="s">
        <v>15</v>
      </c>
      <c r="AJ28" s="21">
        <f>C19/2</f>
        <v>21.714200000000002</v>
      </c>
      <c r="AK28" s="21">
        <f>AH28+C44*COS(C42/180*PI())</f>
        <v>251.58584910929395</v>
      </c>
      <c r="AL28" s="23" t="s">
        <v>20</v>
      </c>
      <c r="AM28" s="52">
        <f>TAN(((AK29-AJ29)/(AK28-AJ28)))</f>
        <v>0.18787313415324766</v>
      </c>
      <c r="AN28" s="23">
        <f>AJ29-((AK29-AJ29)/(AK28-AJ28))*AJ28</f>
        <v>1089.7333264594406</v>
      </c>
    </row>
    <row r="29" spans="2:40" x14ac:dyDescent="0.25">
      <c r="B29" s="73" t="s">
        <v>25</v>
      </c>
      <c r="C29" s="145">
        <v>4.2450000000000001</v>
      </c>
      <c r="D29" s="72" t="s">
        <v>7</v>
      </c>
      <c r="E29" s="105" t="s">
        <v>78</v>
      </c>
      <c r="F29" s="10"/>
      <c r="AF29" s="20"/>
      <c r="AG29" s="21"/>
      <c r="AH29" s="21">
        <f>C19/2*TAN(C42/180*PI())</f>
        <v>4.0261355227750473</v>
      </c>
      <c r="AI29" s="22"/>
      <c r="AJ29" s="21">
        <f>C15+AH29</f>
        <v>1093.7658355227752</v>
      </c>
      <c r="AK29" s="21">
        <f>C15+AH29-C44*SIN(-C42/180*PI())</f>
        <v>1136.4549287630005</v>
      </c>
      <c r="AL29" s="23" t="s">
        <v>21</v>
      </c>
      <c r="AM29" s="49"/>
      <c r="AN29" s="6"/>
    </row>
    <row r="30" spans="2:40" x14ac:dyDescent="0.25">
      <c r="B30" s="73" t="s">
        <v>6</v>
      </c>
      <c r="C30" s="145">
        <v>-11.571999999999999</v>
      </c>
      <c r="D30" s="72" t="s">
        <v>7</v>
      </c>
      <c r="E30" s="105" t="s">
        <v>78</v>
      </c>
      <c r="F30" s="10"/>
      <c r="AF30" s="20"/>
      <c r="AG30" s="21"/>
      <c r="AH30" s="21"/>
      <c r="AI30" s="22" t="s">
        <v>18</v>
      </c>
      <c r="AJ30" s="21">
        <f>AK28</f>
        <v>251.58584910929395</v>
      </c>
      <c r="AK30" s="21">
        <f>AK28</f>
        <v>251.58584910929395</v>
      </c>
      <c r="AL30" s="23" t="s">
        <v>20</v>
      </c>
      <c r="AM30" s="49"/>
      <c r="AN30" s="6"/>
    </row>
    <row r="31" spans="2:40" x14ac:dyDescent="0.25">
      <c r="B31" s="73" t="s">
        <v>11</v>
      </c>
      <c r="C31" s="143">
        <v>720.09209999999996</v>
      </c>
      <c r="D31" s="72" t="s">
        <v>9</v>
      </c>
      <c r="E31" s="105" t="s">
        <v>79</v>
      </c>
      <c r="F31" s="10"/>
      <c r="AF31" s="20"/>
      <c r="AG31" s="21"/>
      <c r="AH31" s="21"/>
      <c r="AI31" s="22"/>
      <c r="AJ31" s="21">
        <f>AK29+C41</f>
        <v>1271.4549287630005</v>
      </c>
      <c r="AK31" s="21">
        <f>AK29</f>
        <v>1136.4549287630005</v>
      </c>
      <c r="AL31" s="23" t="s">
        <v>21</v>
      </c>
      <c r="AM31" s="49"/>
      <c r="AN31" s="6"/>
    </row>
    <row r="32" spans="2:40" x14ac:dyDescent="0.25">
      <c r="B32" s="73" t="s">
        <v>10</v>
      </c>
      <c r="C32" s="143">
        <v>765.02729999999997</v>
      </c>
      <c r="D32" s="72" t="s">
        <v>9</v>
      </c>
      <c r="E32" s="105" t="s">
        <v>79</v>
      </c>
      <c r="F32" s="10"/>
      <c r="AF32" s="20" t="s">
        <v>12</v>
      </c>
      <c r="AG32" s="21">
        <f>ASIN((C19-C20)/2/C40)*180/PI()</f>
        <v>4.6128199091678894</v>
      </c>
      <c r="AH32" s="21" t="s">
        <v>14</v>
      </c>
      <c r="AI32" s="22" t="s">
        <v>17</v>
      </c>
      <c r="AJ32" s="21">
        <f>AJ28</f>
        <v>21.714200000000002</v>
      </c>
      <c r="AK32" s="21">
        <f>C20/2</f>
        <v>8.5250000000000004</v>
      </c>
      <c r="AL32" s="23"/>
      <c r="AM32" s="49"/>
      <c r="AN32" s="6"/>
    </row>
    <row r="33" spans="2:40" x14ac:dyDescent="0.25">
      <c r="B33" s="106" t="s">
        <v>40</v>
      </c>
      <c r="C33" s="136">
        <f>AJ20</f>
        <v>41.025806391227469</v>
      </c>
      <c r="D33" s="71" t="s">
        <v>41</v>
      </c>
      <c r="E33" s="69"/>
      <c r="F33" s="10"/>
      <c r="AF33" s="20"/>
      <c r="AG33" s="21"/>
      <c r="AH33" s="21"/>
      <c r="AI33" s="22"/>
      <c r="AJ33" s="21">
        <f>AJ29</f>
        <v>1093.7658355227752</v>
      </c>
      <c r="AK33" s="21">
        <f>AJ33+SIN((90-AG32)/180*PI())*C40</f>
        <v>1257.2346246030152</v>
      </c>
      <c r="AL33" s="23"/>
      <c r="AM33" s="49"/>
      <c r="AN33" s="6"/>
    </row>
    <row r="34" spans="2:40" x14ac:dyDescent="0.25">
      <c r="B34" s="106" t="s">
        <v>48</v>
      </c>
      <c r="C34" s="134">
        <f>AK23-AJ23</f>
        <v>293.12192979490396</v>
      </c>
      <c r="D34" s="71" t="s">
        <v>9</v>
      </c>
      <c r="E34" s="69"/>
      <c r="F34" s="10"/>
      <c r="AF34" s="20"/>
      <c r="AG34" s="21"/>
      <c r="AH34" s="21"/>
      <c r="AI34" s="22" t="s">
        <v>32</v>
      </c>
      <c r="AJ34" s="21">
        <f>AK34-C45*COS(C43*PI()/180)</f>
        <v>65.655814749794132</v>
      </c>
      <c r="AK34" s="21">
        <f>AK30</f>
        <v>251.58584910929395</v>
      </c>
      <c r="AL34" s="23" t="s">
        <v>20</v>
      </c>
      <c r="AM34" s="52">
        <f>TAN(((AK35-AJ35)/(AK34-AJ34)))</f>
        <v>-0.1845971845166757</v>
      </c>
      <c r="AN34" s="23">
        <f>AJ35-((AK35-AJ35)/(AK34-AJ34))*AJ34</f>
        <v>1317.3799764423102</v>
      </c>
    </row>
    <row r="35" spans="2:40" x14ac:dyDescent="0.25">
      <c r="B35" s="106" t="s">
        <v>59</v>
      </c>
      <c r="C35" s="135">
        <f>C26^2/C33/10000</f>
        <v>6.29243883147271</v>
      </c>
      <c r="D35" s="107"/>
      <c r="E35" s="69"/>
      <c r="F35" s="10"/>
      <c r="AF35" s="20"/>
      <c r="AG35" s="21"/>
      <c r="AH35" s="21"/>
      <c r="AI35" s="22"/>
      <c r="AJ35" s="21">
        <f>AK35-C45*SIN(C43*PI()/180)</f>
        <v>1305.3950161057758</v>
      </c>
      <c r="AK35" s="21">
        <f>AJ31</f>
        <v>1271.4549287630005</v>
      </c>
      <c r="AL35" s="23" t="s">
        <v>21</v>
      </c>
      <c r="AM35" s="49"/>
      <c r="AN35" s="6"/>
    </row>
    <row r="36" spans="2:40" x14ac:dyDescent="0.25">
      <c r="B36" s="67" t="s">
        <v>61</v>
      </c>
      <c r="C36" s="138">
        <f>C35/(C35+2)</f>
        <v>0.75881643016656342</v>
      </c>
      <c r="D36" s="68"/>
      <c r="E36" s="15"/>
      <c r="F36" s="8"/>
      <c r="AF36" s="20"/>
      <c r="AG36" s="21"/>
      <c r="AH36" s="21"/>
      <c r="AI36" s="22" t="s">
        <v>33</v>
      </c>
      <c r="AJ36" s="21">
        <f>AJ34</f>
        <v>65.655814749794132</v>
      </c>
      <c r="AK36" s="21">
        <f>AK32</f>
        <v>8.5250000000000004</v>
      </c>
      <c r="AL36" s="23" t="s">
        <v>20</v>
      </c>
      <c r="AM36" s="52">
        <f>TAN(((AK37-AJ37)/(AK36-AJ36)))</f>
        <v>1.1223538710308603</v>
      </c>
      <c r="AN36" s="23">
        <f>AJ37-((AK37-AJ37)/(AK36-AJ36))*AJ36</f>
        <v>1250.0481817112216</v>
      </c>
    </row>
    <row r="37" spans="2:40" ht="20" thickBot="1" x14ac:dyDescent="0.3">
      <c r="AF37" s="20"/>
      <c r="AG37" s="21"/>
      <c r="AH37" s="21"/>
      <c r="AI37" s="22"/>
      <c r="AJ37" s="21">
        <f>AJ35</f>
        <v>1305.3950161057758</v>
      </c>
      <c r="AK37" s="21">
        <f>AK33</f>
        <v>1257.2346246030152</v>
      </c>
      <c r="AL37" s="23" t="s">
        <v>21</v>
      </c>
      <c r="AM37" s="49"/>
      <c r="AN37" s="6"/>
    </row>
    <row r="38" spans="2:40" x14ac:dyDescent="0.25">
      <c r="B38" s="108" t="s">
        <v>13</v>
      </c>
      <c r="C38" s="109" t="s">
        <v>80</v>
      </c>
      <c r="D38" s="110"/>
      <c r="E38" s="111"/>
      <c r="F38" s="112"/>
      <c r="AF38" s="20"/>
      <c r="AG38" s="21"/>
      <c r="AH38" s="21"/>
      <c r="AI38" s="22" t="s">
        <v>38</v>
      </c>
      <c r="AJ38" s="21">
        <f>AJ28</f>
        <v>21.714200000000002</v>
      </c>
      <c r="AK38" s="21">
        <f>AJ28</f>
        <v>21.714200000000002</v>
      </c>
      <c r="AL38" s="23" t="s">
        <v>20</v>
      </c>
      <c r="AM38" s="49"/>
      <c r="AN38" s="6"/>
    </row>
    <row r="39" spans="2:40" x14ac:dyDescent="0.25">
      <c r="B39" s="113" t="s">
        <v>1</v>
      </c>
      <c r="C39" s="143">
        <v>503.89949999999999</v>
      </c>
      <c r="D39" s="72" t="s">
        <v>9</v>
      </c>
      <c r="E39" s="69"/>
      <c r="F39" s="84"/>
      <c r="AF39" s="20" t="s">
        <v>39</v>
      </c>
      <c r="AG39" s="21">
        <f>ATAN((AJ37-AK37)/(AJ36-AK36))*180/PI()</f>
        <v>40.130369673951556</v>
      </c>
      <c r="AH39" s="21" t="s">
        <v>14</v>
      </c>
      <c r="AI39" s="22"/>
      <c r="AJ39" s="21">
        <f>TAN(AG39*PI()/180)*AJ38+(AK33-(TAN(AG39*PI()/180)*AK32))</f>
        <v>1268.3529158157357</v>
      </c>
      <c r="AK39" s="21">
        <f>AJ33</f>
        <v>1093.7658355227752</v>
      </c>
      <c r="AL39" s="23" t="s">
        <v>21</v>
      </c>
      <c r="AM39" s="49"/>
      <c r="AN39" s="6"/>
    </row>
    <row r="40" spans="2:40" x14ac:dyDescent="0.25">
      <c r="B40" s="113" t="s">
        <v>3</v>
      </c>
      <c r="C40" s="144">
        <v>164</v>
      </c>
      <c r="D40" s="72" t="s">
        <v>9</v>
      </c>
      <c r="E40" s="70" t="s">
        <v>75</v>
      </c>
      <c r="F40" s="84"/>
      <c r="AF40" s="20"/>
      <c r="AG40" s="21"/>
      <c r="AH40" s="21"/>
      <c r="AI40" s="22" t="s">
        <v>44</v>
      </c>
      <c r="AJ40" s="21">
        <f>AJ34</f>
        <v>65.655814749794132</v>
      </c>
      <c r="AK40" s="21">
        <f>AJ34</f>
        <v>65.655814749794132</v>
      </c>
      <c r="AL40" s="23" t="s">
        <v>20</v>
      </c>
      <c r="AM40" s="49"/>
      <c r="AN40" s="6"/>
    </row>
    <row r="41" spans="2:40" x14ac:dyDescent="0.25">
      <c r="B41" s="113" t="s">
        <v>4</v>
      </c>
      <c r="C41" s="144">
        <v>135</v>
      </c>
      <c r="D41" s="72" t="s">
        <v>9</v>
      </c>
      <c r="E41" s="70"/>
      <c r="F41" s="84"/>
      <c r="AF41" s="20"/>
      <c r="AG41" s="21"/>
      <c r="AH41" s="21"/>
      <c r="AI41" s="22"/>
      <c r="AJ41" s="21">
        <f>(AK29-AJ29)/(AK28-AJ28)*AJ40+C15</f>
        <v>1101.9325354735226</v>
      </c>
      <c r="AK41" s="21">
        <f>AJ37</f>
        <v>1305.3950161057758</v>
      </c>
      <c r="AL41" s="23" t="s">
        <v>21</v>
      </c>
      <c r="AM41" s="49"/>
      <c r="AN41" s="6"/>
    </row>
    <row r="42" spans="2:40" x14ac:dyDescent="0.25">
      <c r="B42" s="113" t="s">
        <v>25</v>
      </c>
      <c r="C42" s="144">
        <v>10.504200000000001</v>
      </c>
      <c r="D42" s="72" t="s">
        <v>7</v>
      </c>
      <c r="E42" s="105" t="s">
        <v>78</v>
      </c>
      <c r="F42" s="84"/>
      <c r="AF42" s="20"/>
      <c r="AG42" s="21"/>
      <c r="AH42" s="21"/>
      <c r="AI42" s="22" t="s">
        <v>43</v>
      </c>
      <c r="AJ42" s="21">
        <f>((ABS(AK41-AJ41)+ABS(AJ31-AK31))*ABS(AK30-AK40)+(ABS(AK41-AJ41)+ABS(AJ39-AK39))*ABS(AK38-AK40))/10000</f>
        <v>7.9542448815860931</v>
      </c>
      <c r="AK42" s="21" t="s">
        <v>41</v>
      </c>
      <c r="AL42" s="23"/>
      <c r="AM42" s="49"/>
      <c r="AN42" s="6"/>
    </row>
    <row r="43" spans="2:40" x14ac:dyDescent="0.25">
      <c r="B43" s="113" t="s">
        <v>6</v>
      </c>
      <c r="C43" s="144">
        <v>-10.345000000000001</v>
      </c>
      <c r="D43" s="72" t="s">
        <v>7</v>
      </c>
      <c r="E43" s="105" t="s">
        <v>78</v>
      </c>
      <c r="F43" s="84"/>
      <c r="AF43" s="20"/>
      <c r="AG43" s="21"/>
      <c r="AH43" s="21"/>
      <c r="AI43" s="22" t="s">
        <v>47</v>
      </c>
      <c r="AJ43" s="21">
        <f>AJ42*10000/ABS(AK28-AJ28)-(ABS(AJ31-AK31))</f>
        <v>211.02983501476501</v>
      </c>
      <c r="AK43" s="21" t="s">
        <v>9</v>
      </c>
      <c r="AL43" s="23"/>
      <c r="AM43" s="49"/>
      <c r="AN43" s="6"/>
    </row>
    <row r="44" spans="2:40" x14ac:dyDescent="0.25">
      <c r="B44" s="113" t="s">
        <v>11</v>
      </c>
      <c r="C44" s="144">
        <v>234.15969999999999</v>
      </c>
      <c r="D44" s="72" t="s">
        <v>9</v>
      </c>
      <c r="E44" s="105" t="s">
        <v>79</v>
      </c>
      <c r="F44" s="84"/>
      <c r="AF44" s="20"/>
      <c r="AG44" s="21"/>
      <c r="AH44" s="21"/>
      <c r="AI44" s="22"/>
      <c r="AJ44" s="21">
        <f>AJ32</f>
        <v>21.714200000000002</v>
      </c>
      <c r="AK44" s="21">
        <f>AJ32</f>
        <v>21.714200000000002</v>
      </c>
      <c r="AL44" s="23" t="s">
        <v>20</v>
      </c>
      <c r="AM44" s="49"/>
      <c r="AN44" s="6"/>
    </row>
    <row r="45" spans="2:40" x14ac:dyDescent="0.25">
      <c r="B45" s="113" t="s">
        <v>10</v>
      </c>
      <c r="C45" s="144">
        <v>189.00239999999999</v>
      </c>
      <c r="D45" s="72" t="s">
        <v>9</v>
      </c>
      <c r="E45" s="105" t="s">
        <v>79</v>
      </c>
      <c r="F45" s="84"/>
      <c r="AF45" s="20"/>
      <c r="AG45" s="21"/>
      <c r="AH45" s="21"/>
      <c r="AI45" s="22"/>
      <c r="AJ45" s="21">
        <f>AJ33</f>
        <v>1093.7658355227752</v>
      </c>
      <c r="AK45" s="21">
        <f>AJ33+AJ43</f>
        <v>1304.7956705375402</v>
      </c>
      <c r="AL45" s="23" t="s">
        <v>21</v>
      </c>
      <c r="AM45" s="49"/>
      <c r="AN45" s="6"/>
    </row>
    <row r="46" spans="2:40" x14ac:dyDescent="0.25">
      <c r="B46" s="113" t="s">
        <v>22</v>
      </c>
      <c r="C46" s="144">
        <v>75</v>
      </c>
      <c r="D46" s="72" t="s">
        <v>9</v>
      </c>
      <c r="E46" s="105" t="s">
        <v>79</v>
      </c>
      <c r="F46" s="84"/>
      <c r="AF46" s="20" t="s">
        <v>81</v>
      </c>
      <c r="AG46" s="21">
        <f>ATAN((AK47-AJ47)/(AK46-AJ46))*180/PI()</f>
        <v>-8.2526703723025374</v>
      </c>
      <c r="AH46" s="21" t="s">
        <v>14</v>
      </c>
      <c r="AI46" s="22" t="s">
        <v>51</v>
      </c>
      <c r="AJ46" s="21">
        <f>AK34</f>
        <v>251.58584910929395</v>
      </c>
      <c r="AK46" s="21">
        <f>AK44</f>
        <v>21.714200000000002</v>
      </c>
      <c r="AL46" s="23" t="s">
        <v>20</v>
      </c>
      <c r="AM46" s="52">
        <f>TAN(((AK47-AJ47)/(AK46-AJ46)))</f>
        <v>-0.14606638223073923</v>
      </c>
      <c r="AN46" s="23">
        <f>AJ47-((AK47-AJ47)/(AK46-AJ46))*AJ46</f>
        <v>1307.9451130105288</v>
      </c>
    </row>
    <row r="47" spans="2:40" x14ac:dyDescent="0.25">
      <c r="B47" s="114" t="s">
        <v>40</v>
      </c>
      <c r="C47" s="71">
        <f>AJ42</f>
        <v>7.9542448815860931</v>
      </c>
      <c r="D47" s="71" t="s">
        <v>41</v>
      </c>
      <c r="E47" s="69"/>
      <c r="F47" s="84"/>
      <c r="AF47" s="20"/>
      <c r="AG47" s="21"/>
      <c r="AH47" s="21"/>
      <c r="AI47" s="22"/>
      <c r="AJ47" s="21">
        <f>AK35</f>
        <v>1271.4549287630005</v>
      </c>
      <c r="AK47" s="21">
        <f>AK45</f>
        <v>1304.7956705375402</v>
      </c>
      <c r="AL47" s="23" t="s">
        <v>21</v>
      </c>
      <c r="AM47" s="49"/>
      <c r="AN47" s="6"/>
    </row>
    <row r="48" spans="2:40" x14ac:dyDescent="0.25">
      <c r="B48" s="114" t="s">
        <v>48</v>
      </c>
      <c r="C48" s="136">
        <f>AK50-AJ50</f>
        <v>175.39001872577523</v>
      </c>
      <c r="D48" s="71" t="s">
        <v>9</v>
      </c>
      <c r="E48" s="69"/>
      <c r="F48" s="84"/>
      <c r="AF48" s="20"/>
      <c r="AG48" s="21"/>
      <c r="AH48" s="21"/>
      <c r="AI48" s="22" t="s">
        <v>50</v>
      </c>
      <c r="AJ48" s="24">
        <f>(AJ30-AK38)/(1+(ABS(AJ31-AK31)*2+ABS(AJ43))/(ABS(AK31-AJ31)+ABS(AJ43)*2))</f>
        <v>123.35374202295132</v>
      </c>
      <c r="AK48" s="21" t="s">
        <v>9</v>
      </c>
      <c r="AL48" s="23"/>
      <c r="AM48" s="49"/>
      <c r="AN48" s="6"/>
    </row>
    <row r="49" spans="2:40" x14ac:dyDescent="0.25">
      <c r="B49" s="114" t="s">
        <v>59</v>
      </c>
      <c r="C49" s="135">
        <f>C39^2/AJ42/10000</f>
        <v>3.1921912121169052</v>
      </c>
      <c r="D49" s="107"/>
      <c r="E49" s="69"/>
      <c r="F49" s="84"/>
      <c r="AF49" s="20"/>
      <c r="AG49" s="21"/>
      <c r="AH49" s="21"/>
      <c r="AI49" s="22" t="s">
        <v>49</v>
      </c>
      <c r="AJ49" s="21">
        <f>AJ30-AJ48</f>
        <v>128.23210708634264</v>
      </c>
      <c r="AK49" s="21">
        <f>AJ49</f>
        <v>128.23210708634264</v>
      </c>
      <c r="AL49" s="23" t="s">
        <v>20</v>
      </c>
      <c r="AM49" s="49"/>
      <c r="AN49" s="6"/>
    </row>
    <row r="50" spans="2:40" x14ac:dyDescent="0.25">
      <c r="B50" s="114" t="s">
        <v>61</v>
      </c>
      <c r="C50" s="135">
        <f>C49/(C49+2)</f>
        <v>0.61480617367622314</v>
      </c>
      <c r="D50" s="107"/>
      <c r="E50" s="69"/>
      <c r="F50" s="84"/>
      <c r="AF50" s="25"/>
      <c r="AG50" s="26"/>
      <c r="AH50" s="26"/>
      <c r="AI50" s="27" t="s">
        <v>52</v>
      </c>
      <c r="AJ50" s="26">
        <f>AJ49*AM28+AN28</f>
        <v>1113.8246943168267</v>
      </c>
      <c r="AK50" s="26">
        <f>AK49*AM46+AN46</f>
        <v>1289.2147130426019</v>
      </c>
      <c r="AL50" s="28" t="s">
        <v>54</v>
      </c>
      <c r="AM50" s="50"/>
      <c r="AN50" s="8"/>
    </row>
    <row r="51" spans="2:40" ht="20" thickBot="1" x14ac:dyDescent="0.3">
      <c r="B51" s="115" t="s">
        <v>62</v>
      </c>
      <c r="C51" s="137">
        <f>C50/C36*(1-(4/(2+C35)))</f>
        <v>0.41939508104830125</v>
      </c>
      <c r="D51" s="90"/>
      <c r="E51" s="91"/>
      <c r="F51" s="92"/>
      <c r="AF51" s="25"/>
      <c r="AG51" s="26"/>
      <c r="AH51" s="26"/>
      <c r="AI51" s="27" t="s">
        <v>57</v>
      </c>
      <c r="AJ51" s="26">
        <f>AJ50+(AK50-AJ50)*0.25</f>
        <v>1157.6721989982705</v>
      </c>
      <c r="AK51" s="26"/>
      <c r="AL51" s="28"/>
      <c r="AM51" s="50"/>
      <c r="AN51" s="8"/>
    </row>
  </sheetData>
  <sheetProtection sheet="1" objects="1" scenarios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FC5B-819C-8947-AE47-21F22D8782E3}">
  <dimension ref="D3:L51"/>
  <sheetViews>
    <sheetView workbookViewId="0">
      <selection activeCell="F10" sqref="F10"/>
    </sheetView>
  </sheetViews>
  <sheetFormatPr baseColWidth="10" defaultRowHeight="16" x14ac:dyDescent="0.2"/>
  <cols>
    <col min="5" max="5" width="21.1640625" bestFit="1" customWidth="1"/>
  </cols>
  <sheetData>
    <row r="3" spans="4:12" x14ac:dyDescent="0.2">
      <c r="D3" s="3"/>
      <c r="E3" s="11"/>
      <c r="F3" s="11"/>
      <c r="G3" s="11"/>
      <c r="H3" s="11" t="str">
        <f>'Données et résultats'!AJ3</f>
        <v>triangles quelconques</v>
      </c>
      <c r="I3" s="11"/>
      <c r="J3" s="11"/>
      <c r="K3" s="11"/>
      <c r="L3" s="4"/>
    </row>
    <row r="4" spans="4:12" x14ac:dyDescent="0.2">
      <c r="D4" s="5"/>
      <c r="E4" s="13"/>
      <c r="F4" s="13"/>
      <c r="G4" s="13"/>
      <c r="H4" s="13"/>
      <c r="I4" s="13"/>
      <c r="J4" s="13"/>
      <c r="K4" s="13"/>
      <c r="L4" s="6"/>
    </row>
    <row r="5" spans="4:12" x14ac:dyDescent="0.2">
      <c r="D5" s="5"/>
      <c r="E5" s="13"/>
      <c r="F5" s="13"/>
      <c r="G5" s="13"/>
      <c r="H5" s="13"/>
      <c r="I5" s="13"/>
      <c r="J5" s="13"/>
      <c r="K5" s="13"/>
      <c r="L5" s="6"/>
    </row>
    <row r="6" spans="4:12" x14ac:dyDescent="0.2">
      <c r="D6" s="5"/>
      <c r="E6" s="13"/>
      <c r="F6" s="13"/>
      <c r="G6" s="13"/>
      <c r="H6" s="13"/>
      <c r="I6" s="13"/>
      <c r="J6" s="13"/>
      <c r="K6" s="13"/>
      <c r="L6" s="6"/>
    </row>
    <row r="7" spans="4:12" x14ac:dyDescent="0.2">
      <c r="D7" s="7"/>
      <c r="E7" s="15"/>
      <c r="F7" s="15"/>
      <c r="G7" s="15"/>
      <c r="H7" s="15"/>
      <c r="I7" s="15"/>
      <c r="J7" s="15"/>
      <c r="K7" s="15"/>
      <c r="L7" s="8"/>
    </row>
    <row r="8" spans="4:12" x14ac:dyDescent="0.2">
      <c r="K8" s="9" t="str">
        <f>'Données et résultats'!AM8</f>
        <v>y = ax + b</v>
      </c>
      <c r="L8" s="10"/>
    </row>
    <row r="9" spans="4:12" x14ac:dyDescent="0.2">
      <c r="D9" s="29"/>
      <c r="E9" s="30"/>
      <c r="F9" s="30" t="str">
        <f>'Données et résultats'!AH9</f>
        <v>aile</v>
      </c>
      <c r="G9" s="30"/>
      <c r="H9" s="30"/>
      <c r="I9" s="30"/>
      <c r="J9" s="31"/>
      <c r="K9" s="48" t="str">
        <f>'Données et résultats'!AM9</f>
        <v>a</v>
      </c>
      <c r="L9" s="48" t="str">
        <f>'Données et résultats'!AN9</f>
        <v>b</v>
      </c>
    </row>
    <row r="10" spans="4:12" x14ac:dyDescent="0.2">
      <c r="D10" s="32"/>
      <c r="E10" s="33" t="str">
        <f>'Données et résultats'!AG10</f>
        <v>dBa_in_fus</v>
      </c>
      <c r="F10" s="33">
        <f>'Données et résultats'!AH10</f>
        <v>85.003863026827148</v>
      </c>
      <c r="G10" s="33" t="str">
        <f>'Données et résultats'!AI10</f>
        <v>Ba</v>
      </c>
      <c r="H10" s="33">
        <f>'Données et résultats'!AJ10</f>
        <v>85.003863026827148</v>
      </c>
      <c r="I10" s="33">
        <f>'Données et résultats'!AK10</f>
        <v>803.12049727552596</v>
      </c>
      <c r="J10" s="35" t="str">
        <f>'Données et résultats'!AL10</f>
        <v>x</v>
      </c>
      <c r="K10" s="51">
        <f>'Données et résultats'!AM10</f>
        <v>7.4361701000071279E-2</v>
      </c>
      <c r="L10" s="51">
        <f>'Données et résultats'!AN10</f>
        <v>300.01735657012824</v>
      </c>
    </row>
    <row r="11" spans="4:12" x14ac:dyDescent="0.2">
      <c r="D11" s="32"/>
      <c r="E11" s="33"/>
      <c r="F11" s="33">
        <f>'Données et résultats'!AH11</f>
        <v>6.3267758624568629</v>
      </c>
      <c r="G11" s="33"/>
      <c r="H11" s="33">
        <f>'Données et résultats'!AJ11</f>
        <v>306.32677586245688</v>
      </c>
      <c r="I11" s="33">
        <f>'Données et résultats'!AK11</f>
        <v>359.62904689972595</v>
      </c>
      <c r="J11" s="35" t="str">
        <f>'Données et résultats'!AL11</f>
        <v>y</v>
      </c>
      <c r="K11" s="49"/>
      <c r="L11" s="49"/>
    </row>
    <row r="12" spans="4:12" x14ac:dyDescent="0.2">
      <c r="D12" s="32"/>
      <c r="E12" s="33"/>
      <c r="F12" s="33"/>
      <c r="G12" s="33" t="str">
        <f>'Données et résultats'!AI12</f>
        <v>Cs</v>
      </c>
      <c r="H12" s="33">
        <f>'Données et résultats'!AJ12</f>
        <v>803.12049727552596</v>
      </c>
      <c r="I12" s="33">
        <f>'Données et résultats'!AK12</f>
        <v>803.12049727552596</v>
      </c>
      <c r="J12" s="35" t="str">
        <f>'Données et résultats'!AL12</f>
        <v>x</v>
      </c>
      <c r="K12" s="49"/>
      <c r="L12" s="49"/>
    </row>
    <row r="13" spans="4:12" x14ac:dyDescent="0.2">
      <c r="D13" s="32"/>
      <c r="E13" s="33"/>
      <c r="F13" s="33"/>
      <c r="G13" s="33"/>
      <c r="H13" s="33">
        <f>'Données et résultats'!AJ13</f>
        <v>541.62904689972595</v>
      </c>
      <c r="I13" s="33">
        <f>'Données et résultats'!AK13</f>
        <v>359.62904689972595</v>
      </c>
      <c r="J13" s="35" t="str">
        <f>'Données et résultats'!AL13</f>
        <v>y</v>
      </c>
      <c r="K13" s="49"/>
      <c r="L13" s="49"/>
    </row>
    <row r="14" spans="4:12" x14ac:dyDescent="0.2">
      <c r="D14" s="32" t="str">
        <f>'Données et résultats'!AF14</f>
        <v>angle Fus-Ce</v>
      </c>
      <c r="E14" s="33">
        <f>'Données et résultats'!AG14</f>
        <v>4.6054962402073043</v>
      </c>
      <c r="F14" s="33" t="str">
        <f>'Données et résultats'!AH14</f>
        <v>°</v>
      </c>
      <c r="G14" s="33" t="str">
        <f>'Données et résultats'!AI14</f>
        <v>Ce</v>
      </c>
      <c r="H14" s="33">
        <f>'Données et résultats'!AJ14</f>
        <v>85.003863026827148</v>
      </c>
      <c r="I14" s="33">
        <f>'Données et résultats'!AK14</f>
        <v>53.878</v>
      </c>
      <c r="J14" s="35" t="str">
        <f>'Données et résultats'!AL14</f>
        <v>x</v>
      </c>
      <c r="K14" s="51">
        <f>'Données et résultats'!AM14</f>
        <v>5.9244159878135069E-2</v>
      </c>
      <c r="L14" s="51">
        <f>'Données et résultats'!AN14</f>
        <v>1369.4867193635932</v>
      </c>
    </row>
    <row r="15" spans="4:12" x14ac:dyDescent="0.2">
      <c r="D15" s="32"/>
      <c r="E15" s="33"/>
      <c r="F15" s="33"/>
      <c r="G15" s="33"/>
      <c r="H15" s="33">
        <f>'Données et résultats'!AJ15</f>
        <v>306.32677586245688</v>
      </c>
      <c r="I15" s="33">
        <f>'Données et résultats'!AK15</f>
        <v>695.62403364216425</v>
      </c>
      <c r="J15" s="35" t="str">
        <f>'Données et résultats'!AL15</f>
        <v>y</v>
      </c>
      <c r="K15" s="49"/>
      <c r="L15" s="49"/>
    </row>
    <row r="16" spans="4:12" x14ac:dyDescent="0.2">
      <c r="D16" s="32"/>
      <c r="E16" s="33" t="str">
        <f>'Données et résultats'!AG16</f>
        <v>Bf_in_fus</v>
      </c>
      <c r="F16" s="33">
        <f>'Données et résultats'!AH16</f>
        <v>54.995879360526104</v>
      </c>
      <c r="G16" s="33" t="str">
        <f>'Données et résultats'!AI16</f>
        <v>Bf</v>
      </c>
      <c r="H16" s="33">
        <f>'Données et résultats'!AJ16</f>
        <v>53.878</v>
      </c>
      <c r="I16" s="33">
        <f>'Données et résultats'!AK16</f>
        <v>803.12049727552596</v>
      </c>
      <c r="J16" s="35" t="str">
        <f>'Données et résultats'!AL16</f>
        <v>x</v>
      </c>
      <c r="K16" s="51">
        <f>'Données et résultats'!AM16</f>
        <v>-0.20847821413501072</v>
      </c>
      <c r="L16" s="51">
        <f>'Données et résultats'!AN16</f>
        <v>706.69780738815348</v>
      </c>
    </row>
    <row r="17" spans="4:12" x14ac:dyDescent="0.2">
      <c r="D17" s="32"/>
      <c r="E17" s="33"/>
      <c r="F17" s="33">
        <f>'Données et résultats'!AH17</f>
        <v>11.032128653960731</v>
      </c>
      <c r="G17" s="33"/>
      <c r="H17" s="33">
        <f>'Données et résultats'!AJ17</f>
        <v>695.62403364216425</v>
      </c>
      <c r="I17" s="33">
        <f>'Données et résultats'!AK17</f>
        <v>541.62904689972595</v>
      </c>
      <c r="J17" s="35" t="str">
        <f>'Données et résultats'!AL17</f>
        <v>y</v>
      </c>
      <c r="K17" s="49"/>
      <c r="L17" s="49"/>
    </row>
    <row r="18" spans="4:12" x14ac:dyDescent="0.2">
      <c r="D18" s="32"/>
      <c r="E18" s="33"/>
      <c r="F18" s="33"/>
      <c r="G18" s="33" t="str">
        <f>'Données et résultats'!AI18</f>
        <v>limite surface aile</v>
      </c>
      <c r="H18" s="33">
        <f>'Données et résultats'!AJ18</f>
        <v>85.003863026827148</v>
      </c>
      <c r="I18" s="33">
        <f>'Données et résultats'!AK18</f>
        <v>85.003863026827148</v>
      </c>
      <c r="J18" s="35" t="str">
        <f>'Données et résultats'!AL18</f>
        <v>x</v>
      </c>
      <c r="K18" s="49"/>
      <c r="L18" s="49"/>
    </row>
    <row r="19" spans="4:12" x14ac:dyDescent="0.2">
      <c r="D19" s="32"/>
      <c r="E19" s="33"/>
      <c r="F19" s="33"/>
      <c r="G19" s="33">
        <f>'Données et résultats'!AI19</f>
        <v>0</v>
      </c>
      <c r="H19" s="33">
        <f>'Données et résultats'!AJ19</f>
        <v>689.25066185075559</v>
      </c>
      <c r="I19" s="33">
        <f>'Données et résultats'!AK19</f>
        <v>306.32677586245688</v>
      </c>
      <c r="J19" s="35" t="str">
        <f>'Données et résultats'!AL19</f>
        <v>y</v>
      </c>
      <c r="K19" s="49"/>
      <c r="L19" s="49"/>
    </row>
    <row r="20" spans="4:12" x14ac:dyDescent="0.2">
      <c r="D20" s="32"/>
      <c r="E20" s="33"/>
      <c r="F20" s="33"/>
      <c r="G20" s="33" t="str">
        <f>'Données et résultats'!AI20</f>
        <v>surface des ailes</v>
      </c>
      <c r="H20" s="33">
        <f>'Données et résultats'!AJ20</f>
        <v>41.025806391227469</v>
      </c>
      <c r="I20" s="33" t="str">
        <f>'Données et résultats'!AK20</f>
        <v>dm2</v>
      </c>
      <c r="J20" s="35"/>
      <c r="K20" s="49"/>
      <c r="L20" s="49"/>
    </row>
    <row r="21" spans="4:12" x14ac:dyDescent="0.2">
      <c r="D21" s="32"/>
      <c r="E21" s="33"/>
      <c r="F21" s="33"/>
      <c r="G21" s="33" t="str">
        <f>'Données et résultats'!AI21</f>
        <v>distance Cs-Cm</v>
      </c>
      <c r="H21" s="33">
        <f>'Données et résultats'!AJ21</f>
        <v>401.6265250796759</v>
      </c>
      <c r="I21" s="33" t="str">
        <f>'Données et résultats'!AK21</f>
        <v>mm</v>
      </c>
      <c r="J21" s="35"/>
      <c r="K21" s="49"/>
      <c r="L21" s="49"/>
    </row>
    <row r="22" spans="4:12" x14ac:dyDescent="0.2">
      <c r="D22" s="32"/>
      <c r="E22" s="33"/>
      <c r="F22" s="33"/>
      <c r="G22" s="33" t="str">
        <f>'Données et résultats'!AI22</f>
        <v>X corde moyenne</v>
      </c>
      <c r="H22" s="33">
        <f>'Données et résultats'!AJ22</f>
        <v>401.49397219585006</v>
      </c>
      <c r="I22" s="33">
        <f>'Données et résultats'!AK22</f>
        <v>401.49397219585006</v>
      </c>
      <c r="J22" s="35" t="str">
        <f>'Données et résultats'!AL22</f>
        <v>x</v>
      </c>
      <c r="K22" s="49"/>
      <c r="L22" s="49"/>
    </row>
    <row r="23" spans="4:12" x14ac:dyDescent="0.2">
      <c r="D23" s="36"/>
      <c r="E23" s="37"/>
      <c r="F23" s="37"/>
      <c r="G23" s="37" t="str">
        <f>'Données et résultats'!AI23</f>
        <v>yBa</v>
      </c>
      <c r="H23" s="37">
        <f>'Données et résultats'!AJ23</f>
        <v>329.87313128388701</v>
      </c>
      <c r="I23" s="37">
        <f>'Données et résultats'!AK23</f>
        <v>622.99506107879097</v>
      </c>
      <c r="J23" s="39" t="str">
        <f>'Données et résultats'!AL23</f>
        <v>yBf</v>
      </c>
      <c r="K23" s="49"/>
      <c r="L23" s="49"/>
    </row>
    <row r="24" spans="4:12" x14ac:dyDescent="0.2">
      <c r="D24" s="40"/>
      <c r="E24" s="41"/>
      <c r="F24" s="41"/>
      <c r="G24" s="41" t="str">
        <f>'Données et résultats'!AI24</f>
        <v>y bras de levier</v>
      </c>
      <c r="H24" s="41">
        <f>'Données et résultats'!AJ24</f>
        <v>403.153613732613</v>
      </c>
      <c r="I24" s="41"/>
      <c r="J24" s="43"/>
      <c r="K24" s="49"/>
      <c r="L24" s="49"/>
    </row>
    <row r="25" spans="4:12" x14ac:dyDescent="0.2">
      <c r="D25" s="53"/>
      <c r="E25" s="54"/>
      <c r="F25" s="54"/>
      <c r="G25" s="54" t="str">
        <f>'Données et résultats'!AI25</f>
        <v>CG</v>
      </c>
      <c r="H25" s="54">
        <v>0</v>
      </c>
      <c r="I25" s="54">
        <f>'Données et résultats'!AK25</f>
        <v>1510</v>
      </c>
      <c r="J25" s="56" t="str">
        <f>'Données et résultats'!AL25</f>
        <v>x</v>
      </c>
      <c r="K25" s="57"/>
      <c r="L25" s="57">
        <f>'Données et résultats'!AN25</f>
        <v>433.69514566713707</v>
      </c>
    </row>
    <row r="26" spans="4:12" x14ac:dyDescent="0.2">
      <c r="D26" s="59"/>
      <c r="E26" s="60"/>
      <c r="F26" s="60"/>
      <c r="G26" s="60"/>
      <c r="H26" s="60">
        <f>'Données et résultats'!AJ26</f>
        <v>433.69514566713707</v>
      </c>
      <c r="I26" s="60">
        <f>'Données et résultats'!AK26</f>
        <v>433.69514566713707</v>
      </c>
      <c r="J26" s="62" t="str">
        <f>'Données et résultats'!AL26</f>
        <v>y</v>
      </c>
      <c r="K26" s="49"/>
      <c r="L26" s="49"/>
    </row>
    <row r="27" spans="4:12" x14ac:dyDescent="0.2">
      <c r="D27" s="17"/>
      <c r="E27" s="18"/>
      <c r="F27" s="18" t="str">
        <f>'Données et résultats'!AH27</f>
        <v>stab</v>
      </c>
      <c r="G27" s="18"/>
      <c r="H27" s="18"/>
      <c r="I27" s="18"/>
      <c r="J27" s="19"/>
      <c r="K27" s="49"/>
      <c r="L27" s="49"/>
    </row>
    <row r="28" spans="4:12" x14ac:dyDescent="0.2">
      <c r="D28" s="20"/>
      <c r="E28" s="21" t="str">
        <f>'Données et résultats'!AG28</f>
        <v>dBa_in_fus</v>
      </c>
      <c r="F28" s="21">
        <f>'Données et résultats'!AH28</f>
        <v>21.35030358598134</v>
      </c>
      <c r="G28" s="21" t="str">
        <f>'Données et résultats'!AI28</f>
        <v>Ba</v>
      </c>
      <c r="H28" s="21">
        <f>'Données et résultats'!AJ28</f>
        <v>21.714200000000002</v>
      </c>
      <c r="I28" s="21">
        <f>'Données et résultats'!AK28</f>
        <v>251.58584910929395</v>
      </c>
      <c r="J28" s="23" t="str">
        <f>'Données et résultats'!AL28</f>
        <v>x</v>
      </c>
      <c r="K28" s="52">
        <f>'Données et résultats'!AM28</f>
        <v>0.18787313415324766</v>
      </c>
      <c r="L28" s="52">
        <f>'Données et résultats'!AN28</f>
        <v>1089.7333264594406</v>
      </c>
    </row>
    <row r="29" spans="4:12" x14ac:dyDescent="0.2">
      <c r="D29" s="20"/>
      <c r="E29" s="21"/>
      <c r="F29" s="21">
        <f>'Données et résultats'!AH29</f>
        <v>4.0261355227750473</v>
      </c>
      <c r="G29" s="21"/>
      <c r="H29" s="21">
        <f>'Données et résultats'!AJ29</f>
        <v>1093.7658355227752</v>
      </c>
      <c r="I29" s="21">
        <f>'Données et résultats'!AK29</f>
        <v>1136.4549287630005</v>
      </c>
      <c r="J29" s="23" t="str">
        <f>'Données et résultats'!AL29</f>
        <v>y</v>
      </c>
      <c r="K29" s="49"/>
      <c r="L29" s="49"/>
    </row>
    <row r="30" spans="4:12" x14ac:dyDescent="0.2">
      <c r="D30" s="20"/>
      <c r="E30" s="21"/>
      <c r="F30" s="21"/>
      <c r="G30" s="21" t="str">
        <f>'Données et résultats'!AI30</f>
        <v>Cs</v>
      </c>
      <c r="H30" s="21">
        <f>'Données et résultats'!AJ30</f>
        <v>251.58584910929395</v>
      </c>
      <c r="I30" s="21">
        <f>'Données et résultats'!AK30</f>
        <v>251.58584910929395</v>
      </c>
      <c r="J30" s="23" t="str">
        <f>'Données et résultats'!AL30</f>
        <v>x</v>
      </c>
      <c r="K30" s="49"/>
      <c r="L30" s="49"/>
    </row>
    <row r="31" spans="4:12" x14ac:dyDescent="0.2">
      <c r="D31" s="20"/>
      <c r="E31" s="21"/>
      <c r="F31" s="21"/>
      <c r="G31" s="21"/>
      <c r="H31" s="21">
        <f>'Données et résultats'!AJ31</f>
        <v>1271.4549287630005</v>
      </c>
      <c r="I31" s="21">
        <f>'Données et résultats'!AK31</f>
        <v>1136.4549287630005</v>
      </c>
      <c r="J31" s="23" t="str">
        <f>'Données et résultats'!AL31</f>
        <v>y</v>
      </c>
      <c r="K31" s="49"/>
      <c r="L31" s="49"/>
    </row>
    <row r="32" spans="4:12" x14ac:dyDescent="0.2">
      <c r="D32" s="20" t="str">
        <f>'Données et résultats'!AF32</f>
        <v>angle Fus-Ce</v>
      </c>
      <c r="E32" s="21">
        <f>'Données et résultats'!AG32</f>
        <v>4.6128199091678894</v>
      </c>
      <c r="F32" s="21" t="str">
        <f>'Données et résultats'!AH32</f>
        <v>°</v>
      </c>
      <c r="G32" s="21" t="str">
        <f>'Données et résultats'!AI32</f>
        <v>Ce</v>
      </c>
      <c r="H32" s="21">
        <f>'Données et résultats'!AJ32</f>
        <v>21.714200000000002</v>
      </c>
      <c r="I32" s="21">
        <f>'Données et résultats'!AK32</f>
        <v>8.5250000000000004</v>
      </c>
      <c r="J32" s="23"/>
      <c r="K32" s="49"/>
      <c r="L32" s="49"/>
    </row>
    <row r="33" spans="4:12" x14ac:dyDescent="0.2">
      <c r="D33" s="20"/>
      <c r="E33" s="21"/>
      <c r="F33" s="21"/>
      <c r="G33" s="21"/>
      <c r="H33" s="21">
        <f>'Données et résultats'!AJ33</f>
        <v>1093.7658355227752</v>
      </c>
      <c r="I33" s="21">
        <f>'Données et résultats'!AK33</f>
        <v>1257.2346246030152</v>
      </c>
      <c r="J33" s="23"/>
      <c r="K33" s="49"/>
      <c r="L33" s="49"/>
    </row>
    <row r="34" spans="4:12" x14ac:dyDescent="0.2">
      <c r="D34" s="20"/>
      <c r="E34" s="21"/>
      <c r="F34" s="21"/>
      <c r="G34" s="21" t="str">
        <f>'Données et résultats'!AI34</f>
        <v>Bf1</v>
      </c>
      <c r="H34" s="21">
        <f>'Données et résultats'!AJ34</f>
        <v>65.655814749794132</v>
      </c>
      <c r="I34" s="21">
        <f>'Données et résultats'!AK34</f>
        <v>251.58584910929395</v>
      </c>
      <c r="J34" s="23" t="str">
        <f>'Données et résultats'!AL34</f>
        <v>x</v>
      </c>
      <c r="K34" s="52">
        <f>'Données et résultats'!AM34</f>
        <v>-0.1845971845166757</v>
      </c>
      <c r="L34" s="52">
        <f>'Données et résultats'!AN34</f>
        <v>1317.3799764423102</v>
      </c>
    </row>
    <row r="35" spans="4:12" x14ac:dyDescent="0.2">
      <c r="D35" s="20"/>
      <c r="E35" s="21"/>
      <c r="F35" s="21"/>
      <c r="G35" s="21"/>
      <c r="H35" s="21">
        <f>'Données et résultats'!AJ35</f>
        <v>1305.3950161057758</v>
      </c>
      <c r="I35" s="21">
        <f>'Données et résultats'!AK35</f>
        <v>1271.4549287630005</v>
      </c>
      <c r="J35" s="23" t="str">
        <f>'Données et résultats'!AL35</f>
        <v>y</v>
      </c>
      <c r="K35" s="49"/>
      <c r="L35" s="49"/>
    </row>
    <row r="36" spans="4:12" x14ac:dyDescent="0.2">
      <c r="D36" s="20"/>
      <c r="E36" s="21"/>
      <c r="F36" s="21"/>
      <c r="G36" s="21" t="str">
        <f>'Données et résultats'!AI36</f>
        <v>Bf2</v>
      </c>
      <c r="H36" s="21">
        <f>'Données et résultats'!AJ36</f>
        <v>65.655814749794132</v>
      </c>
      <c r="I36" s="21">
        <f>'Données et résultats'!AK36</f>
        <v>8.5250000000000004</v>
      </c>
      <c r="J36" s="23" t="str">
        <f>'Données et résultats'!AL36</f>
        <v>x</v>
      </c>
      <c r="K36" s="52">
        <f>'Données et résultats'!AM36</f>
        <v>1.1223538710308603</v>
      </c>
      <c r="L36" s="52">
        <f>'Données et résultats'!AN36</f>
        <v>1250.0481817112216</v>
      </c>
    </row>
    <row r="37" spans="4:12" x14ac:dyDescent="0.2">
      <c r="D37" s="20"/>
      <c r="E37" s="21"/>
      <c r="F37" s="21"/>
      <c r="G37" s="21"/>
      <c r="H37" s="21">
        <f>'Données et résultats'!AJ37</f>
        <v>1305.3950161057758</v>
      </c>
      <c r="I37" s="21">
        <f>'Données et résultats'!AK37</f>
        <v>1257.2346246030152</v>
      </c>
      <c r="J37" s="23" t="str">
        <f>'Données et résultats'!AL37</f>
        <v>y</v>
      </c>
      <c r="K37" s="49"/>
      <c r="L37" s="49"/>
    </row>
    <row r="38" spans="4:12" x14ac:dyDescent="0.2">
      <c r="D38" s="20"/>
      <c r="E38" s="21"/>
      <c r="F38" s="21"/>
      <c r="G38" s="21" t="str">
        <f>'Données et résultats'!AI38</f>
        <v>limite surface stab.</v>
      </c>
      <c r="H38" s="21">
        <f>'Données et résultats'!AJ38</f>
        <v>21.714200000000002</v>
      </c>
      <c r="I38" s="21">
        <f>'Données et résultats'!AK38</f>
        <v>21.714200000000002</v>
      </c>
      <c r="J38" s="23" t="str">
        <f>'Données et résultats'!AL38</f>
        <v>x</v>
      </c>
      <c r="K38" s="49"/>
      <c r="L38" s="49"/>
    </row>
    <row r="39" spans="4:12" x14ac:dyDescent="0.2">
      <c r="D39" s="20" t="str">
        <f>'Données et résultats'!AF39</f>
        <v>angle Bf2</v>
      </c>
      <c r="E39" s="21">
        <f>'Données et résultats'!AG39</f>
        <v>40.130369673951556</v>
      </c>
      <c r="F39" s="21" t="s">
        <v>14</v>
      </c>
      <c r="G39" s="21"/>
      <c r="H39" s="21">
        <f>'Données et résultats'!AJ39</f>
        <v>1268.3529158157357</v>
      </c>
      <c r="I39" s="21">
        <f>'Données et résultats'!AK39</f>
        <v>1093.7658355227752</v>
      </c>
      <c r="J39" s="23" t="str">
        <f>'Données et résultats'!AL39</f>
        <v>y</v>
      </c>
      <c r="K39" s="49"/>
      <c r="L39" s="49"/>
    </row>
    <row r="40" spans="4:12" x14ac:dyDescent="0.2">
      <c r="D40" s="20"/>
      <c r="E40" s="21"/>
      <c r="F40" s="21"/>
      <c r="G40" s="21" t="str">
        <f>'Données et résultats'!AI40</f>
        <v>limite surfaces stab. 1-2</v>
      </c>
      <c r="H40" s="21">
        <f>'Données et résultats'!AJ40</f>
        <v>65.655814749794132</v>
      </c>
      <c r="I40" s="21">
        <f>'Données et résultats'!AK40</f>
        <v>65.655814749794132</v>
      </c>
      <c r="J40" s="23" t="str">
        <f>'Données et résultats'!AL40</f>
        <v>x</v>
      </c>
      <c r="K40" s="49"/>
      <c r="L40" s="49"/>
    </row>
    <row r="41" spans="4:12" x14ac:dyDescent="0.2">
      <c r="D41" s="20"/>
      <c r="E41" s="21"/>
      <c r="F41" s="21"/>
      <c r="G41" s="21"/>
      <c r="H41" s="21">
        <f>'Données et résultats'!AJ41</f>
        <v>1101.9325354735226</v>
      </c>
      <c r="I41" s="21">
        <f>'Données et résultats'!AK41</f>
        <v>1305.3950161057758</v>
      </c>
      <c r="J41" s="23" t="str">
        <f>'Données et résultats'!AL41</f>
        <v>y</v>
      </c>
      <c r="K41" s="49"/>
      <c r="L41" s="49"/>
    </row>
    <row r="42" spans="4:12" x14ac:dyDescent="0.2">
      <c r="D42" s="20"/>
      <c r="E42" s="21"/>
      <c r="F42" s="21"/>
      <c r="G42" s="21" t="str">
        <f>'Données et résultats'!AI42</f>
        <v>surface du stab.</v>
      </c>
      <c r="H42" s="21">
        <f>'Données et résultats'!AJ42</f>
        <v>7.9542448815860931</v>
      </c>
      <c r="I42" s="21" t="str">
        <f>'Données et résultats'!AK42</f>
        <v>dm2</v>
      </c>
      <c r="J42" s="23"/>
      <c r="K42" s="49"/>
      <c r="L42" s="49"/>
    </row>
    <row r="43" spans="4:12" x14ac:dyDescent="0.2">
      <c r="D43" s="20"/>
      <c r="E43" s="21"/>
      <c r="F43" s="21"/>
      <c r="G43" s="21" t="str">
        <f>'Données et résultats'!AI43</f>
        <v>emplanture relative</v>
      </c>
      <c r="H43" s="21">
        <f>'Données et résultats'!AJ43</f>
        <v>211.02983501476501</v>
      </c>
      <c r="I43" s="21" t="str">
        <f>'Données et résultats'!AK43</f>
        <v>mm</v>
      </c>
      <c r="J43" s="23"/>
      <c r="K43" s="49"/>
      <c r="L43" s="49"/>
    </row>
    <row r="44" spans="4:12" x14ac:dyDescent="0.2">
      <c r="D44" s="20"/>
      <c r="E44" s="21"/>
      <c r="F44" s="21"/>
      <c r="G44" s="21"/>
      <c r="H44" s="21">
        <f>'Données et résultats'!AJ44</f>
        <v>21.714200000000002</v>
      </c>
      <c r="I44" s="21">
        <f>'Données et résultats'!AK44</f>
        <v>21.714200000000002</v>
      </c>
      <c r="J44" s="23" t="str">
        <f>'Données et résultats'!AL44</f>
        <v>x</v>
      </c>
      <c r="K44" s="49"/>
      <c r="L44" s="49"/>
    </row>
    <row r="45" spans="4:12" x14ac:dyDescent="0.2">
      <c r="D45" s="20"/>
      <c r="E45" s="21"/>
      <c r="F45" s="21"/>
      <c r="G45" s="21"/>
      <c r="H45" s="21">
        <f>'Données et résultats'!AJ45</f>
        <v>1093.7658355227752</v>
      </c>
      <c r="I45" s="21">
        <f>'Données et résultats'!AK45</f>
        <v>1304.7956705375402</v>
      </c>
      <c r="J45" s="23" t="str">
        <f>'Données et résultats'!AL45</f>
        <v>y</v>
      </c>
      <c r="K45" s="49"/>
      <c r="L45" s="49"/>
    </row>
    <row r="46" spans="4:12" x14ac:dyDescent="0.2">
      <c r="D46" s="20" t="str">
        <f>'Données et résultats'!AF46</f>
        <v>angle</v>
      </c>
      <c r="E46" s="21">
        <f>'Données et résultats'!AG46</f>
        <v>-8.2526703723025374</v>
      </c>
      <c r="F46" s="21" t="str">
        <f>'Données et résultats'!AH46</f>
        <v>°</v>
      </c>
      <c r="G46" s="21" t="str">
        <f>'Données et résultats'!AI46</f>
        <v>Bf_s_rel</v>
      </c>
      <c r="H46" s="21">
        <f>'Données et résultats'!AJ46</f>
        <v>251.58584910929395</v>
      </c>
      <c r="I46" s="21">
        <f>'Données et résultats'!AK46</f>
        <v>21.714200000000002</v>
      </c>
      <c r="J46" s="23" t="str">
        <f>'Données et résultats'!AL46</f>
        <v>x</v>
      </c>
      <c r="K46" s="52">
        <f>'Données et résultats'!AM46</f>
        <v>-0.14606638223073923</v>
      </c>
      <c r="L46" s="52">
        <f>'Données et résultats'!AN46</f>
        <v>1307.9451130105288</v>
      </c>
    </row>
    <row r="47" spans="4:12" x14ac:dyDescent="0.2">
      <c r="D47" s="20"/>
      <c r="E47" s="21"/>
      <c r="F47" s="21"/>
      <c r="G47" s="21"/>
      <c r="H47" s="21">
        <f>'Données et résultats'!AJ47</f>
        <v>1271.4549287630005</v>
      </c>
      <c r="I47" s="21">
        <f>'Données et résultats'!AK47</f>
        <v>1304.7956705375402</v>
      </c>
      <c r="J47" s="23" t="str">
        <f>'Données et résultats'!AL47</f>
        <v>y</v>
      </c>
      <c r="K47" s="49"/>
      <c r="L47" s="49"/>
    </row>
    <row r="48" spans="4:12" x14ac:dyDescent="0.2">
      <c r="D48" s="20"/>
      <c r="E48" s="21"/>
      <c r="F48" s="21"/>
      <c r="G48" s="21" t="str">
        <f>'Données et résultats'!AI48</f>
        <v>distance Cs-Cm</v>
      </c>
      <c r="H48" s="21">
        <f>'Données et résultats'!AJ48</f>
        <v>123.35374202295132</v>
      </c>
      <c r="I48" s="21" t="str">
        <f>'Données et résultats'!AK48</f>
        <v>mm</v>
      </c>
      <c r="J48" s="23"/>
      <c r="K48" s="49"/>
      <c r="L48" s="49"/>
    </row>
    <row r="49" spans="4:12" x14ac:dyDescent="0.2">
      <c r="D49" s="20"/>
      <c r="E49" s="21"/>
      <c r="F49" s="21"/>
      <c r="G49" s="21" t="str">
        <f>'Données et résultats'!AI49</f>
        <v>X corde moyenne</v>
      </c>
      <c r="H49" s="21">
        <f>'Données et résultats'!AJ49</f>
        <v>128.23210708634264</v>
      </c>
      <c r="I49" s="21">
        <f>'Données et résultats'!AK49</f>
        <v>128.23210708634264</v>
      </c>
      <c r="J49" s="23" t="str">
        <f>'Données et résultats'!AL49</f>
        <v>x</v>
      </c>
      <c r="K49" s="49"/>
      <c r="L49" s="49"/>
    </row>
    <row r="50" spans="4:12" x14ac:dyDescent="0.2">
      <c r="D50" s="25"/>
      <c r="E50" s="26"/>
      <c r="F50" s="26"/>
      <c r="G50" s="26" t="str">
        <f>'Données et résultats'!AI50</f>
        <v>yBa</v>
      </c>
      <c r="H50" s="26">
        <f>'Données et résultats'!AJ50</f>
        <v>1113.8246943168267</v>
      </c>
      <c r="I50" s="26">
        <f>'Données et résultats'!AK50</f>
        <v>1289.2147130426019</v>
      </c>
      <c r="J50" s="28" t="str">
        <f>'Données et résultats'!AL50</f>
        <v>Ybf</v>
      </c>
      <c r="K50" s="49"/>
      <c r="L50" s="49"/>
    </row>
    <row r="51" spans="4:12" x14ac:dyDescent="0.2">
      <c r="D51" s="44"/>
      <c r="E51" s="45"/>
      <c r="F51" s="45"/>
      <c r="G51" s="45" t="str">
        <f>'Données et résultats'!AI51</f>
        <v>y bras de levier</v>
      </c>
      <c r="H51" s="45">
        <f>'Données et résultats'!AJ51</f>
        <v>1157.6721989982705</v>
      </c>
      <c r="I51" s="45"/>
      <c r="J51" s="47"/>
      <c r="K51" s="50"/>
      <c r="L51" s="50"/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F535-DDE6-E941-9CC5-64E50BF07977}">
  <dimension ref="B2:U24"/>
  <sheetViews>
    <sheetView workbookViewId="0">
      <selection activeCell="J11" sqref="J10:J11"/>
    </sheetView>
  </sheetViews>
  <sheetFormatPr baseColWidth="10" defaultRowHeight="19" x14ac:dyDescent="0.25"/>
  <cols>
    <col min="1" max="16384" width="10.83203125" style="150"/>
  </cols>
  <sheetData>
    <row r="2" spans="2:21" x14ac:dyDescent="0.25">
      <c r="B2" s="1" t="s">
        <v>84</v>
      </c>
      <c r="L2" s="150" t="s">
        <v>87</v>
      </c>
    </row>
    <row r="3" spans="2:21" ht="20" thickBot="1" x14ac:dyDescent="0.3"/>
    <row r="4" spans="2:21" x14ac:dyDescent="0.25">
      <c r="B4" s="152"/>
      <c r="C4" s="153"/>
      <c r="D4" s="153"/>
      <c r="E4" s="153"/>
      <c r="F4" s="153"/>
      <c r="G4" s="153"/>
      <c r="H4" s="153"/>
      <c r="I4" s="154" t="s">
        <v>85</v>
      </c>
      <c r="J4" s="178"/>
      <c r="K4" s="153" t="s">
        <v>9</v>
      </c>
      <c r="L4" s="155" t="s">
        <v>86</v>
      </c>
      <c r="M4" s="153"/>
      <c r="N4" s="153"/>
      <c r="O4" s="153"/>
      <c r="P4" s="153"/>
      <c r="Q4" s="153"/>
      <c r="R4" s="156"/>
    </row>
    <row r="5" spans="2:21" x14ac:dyDescent="0.25">
      <c r="B5" s="157"/>
      <c r="C5" s="158"/>
      <c r="D5" s="158"/>
      <c r="E5" s="158"/>
      <c r="F5" s="158"/>
      <c r="G5" s="158"/>
      <c r="H5" s="158"/>
      <c r="I5" s="159" t="s">
        <v>93</v>
      </c>
      <c r="J5" s="179"/>
      <c r="K5" s="158" t="s">
        <v>9</v>
      </c>
      <c r="L5" s="160" t="s">
        <v>94</v>
      </c>
      <c r="M5" s="158"/>
      <c r="N5" s="158"/>
      <c r="O5" s="158"/>
      <c r="P5" s="158"/>
      <c r="Q5" s="158"/>
      <c r="R5" s="161"/>
    </row>
    <row r="6" spans="2:21" x14ac:dyDescent="0.25">
      <c r="B6" s="157"/>
      <c r="C6" s="158"/>
      <c r="D6" s="158"/>
      <c r="E6" s="158"/>
      <c r="F6" s="158"/>
      <c r="G6" s="158"/>
      <c r="H6" s="158"/>
      <c r="I6" s="159" t="s">
        <v>88</v>
      </c>
      <c r="J6" s="179"/>
      <c r="K6" s="158" t="s">
        <v>89</v>
      </c>
      <c r="L6" s="160" t="s">
        <v>90</v>
      </c>
      <c r="M6" s="158"/>
      <c r="N6" s="158"/>
      <c r="O6" s="158"/>
      <c r="P6" s="158"/>
      <c r="Q6" s="158"/>
      <c r="R6" s="161"/>
    </row>
    <row r="7" spans="2:21" x14ac:dyDescent="0.25">
      <c r="B7" s="157"/>
      <c r="C7" s="158"/>
      <c r="D7" s="158"/>
      <c r="E7" s="158"/>
      <c r="F7" s="158"/>
      <c r="G7" s="158"/>
      <c r="H7" s="158"/>
      <c r="I7" s="159" t="s">
        <v>91</v>
      </c>
      <c r="J7" s="179"/>
      <c r="K7" s="158" t="s">
        <v>89</v>
      </c>
      <c r="L7" s="160" t="s">
        <v>90</v>
      </c>
      <c r="M7" s="158"/>
      <c r="N7" s="158"/>
      <c r="O7" s="158"/>
      <c r="P7" s="158"/>
      <c r="Q7" s="158"/>
      <c r="R7" s="161"/>
    </row>
    <row r="8" spans="2:21" ht="20" thickBot="1" x14ac:dyDescent="0.3">
      <c r="B8" s="162"/>
      <c r="C8" s="163"/>
      <c r="D8" s="163"/>
      <c r="E8" s="163"/>
      <c r="F8" s="163"/>
      <c r="G8" s="163"/>
      <c r="H8" s="131"/>
      <c r="I8" s="164" t="s">
        <v>92</v>
      </c>
      <c r="J8" s="165" t="e">
        <f>((J4*J6)+(J5*J7))/(J6+J7)</f>
        <v>#DIV/0!</v>
      </c>
      <c r="K8" s="131" t="s">
        <v>9</v>
      </c>
      <c r="L8" s="163"/>
      <c r="M8" s="163"/>
      <c r="N8" s="163"/>
      <c r="O8" s="163"/>
      <c r="P8" s="163"/>
      <c r="Q8" s="163"/>
      <c r="R8" s="166"/>
    </row>
    <row r="9" spans="2:21" ht="20" thickBot="1" x14ac:dyDescent="0.3">
      <c r="O9" s="151"/>
    </row>
    <row r="10" spans="2:21" x14ac:dyDescent="0.25">
      <c r="B10" s="152"/>
      <c r="C10" s="169"/>
      <c r="D10" s="169"/>
      <c r="E10" s="169"/>
      <c r="F10" s="169"/>
      <c r="G10" s="170"/>
      <c r="H10" s="170"/>
      <c r="I10" s="171" t="s">
        <v>95</v>
      </c>
      <c r="J10" s="178"/>
      <c r="K10" s="153" t="s">
        <v>9</v>
      </c>
      <c r="L10" s="155" t="s">
        <v>98</v>
      </c>
      <c r="M10" s="169"/>
      <c r="N10" s="169"/>
      <c r="O10" s="169"/>
      <c r="P10" s="169"/>
      <c r="Q10" s="169"/>
      <c r="R10" s="172"/>
    </row>
    <row r="11" spans="2:21" x14ac:dyDescent="0.25">
      <c r="B11" s="157"/>
      <c r="C11" s="173"/>
      <c r="D11" s="173"/>
      <c r="E11" s="173"/>
      <c r="F11" s="173"/>
      <c r="G11" s="174"/>
      <c r="H11" s="174"/>
      <c r="I11" s="175" t="s">
        <v>96</v>
      </c>
      <c r="J11" s="179"/>
      <c r="K11" s="158" t="s">
        <v>9</v>
      </c>
      <c r="L11" s="173"/>
      <c r="M11" s="173"/>
      <c r="N11" s="173"/>
      <c r="O11" s="173"/>
      <c r="P11" s="173"/>
      <c r="Q11" s="173"/>
      <c r="R11" s="176"/>
      <c r="U11" s="177"/>
    </row>
    <row r="12" spans="2:21" ht="20" thickBot="1" x14ac:dyDescent="0.3">
      <c r="B12" s="162"/>
      <c r="C12" s="163"/>
      <c r="D12" s="163"/>
      <c r="E12" s="163"/>
      <c r="F12" s="163"/>
      <c r="G12" s="163"/>
      <c r="H12" s="163"/>
      <c r="I12" s="129" t="s">
        <v>97</v>
      </c>
      <c r="J12" s="165" t="e">
        <f>(J6+J7)*(J8-J11)/(J11+J10)</f>
        <v>#DIV/0!</v>
      </c>
      <c r="K12" s="131" t="s">
        <v>89</v>
      </c>
      <c r="L12" s="163"/>
      <c r="M12" s="163"/>
      <c r="N12" s="163"/>
      <c r="O12" s="163"/>
      <c r="P12" s="163"/>
      <c r="Q12" s="163"/>
      <c r="R12" s="166"/>
      <c r="U12" s="177"/>
    </row>
    <row r="13" spans="2:21" x14ac:dyDescent="0.25">
      <c r="U13" s="177"/>
    </row>
    <row r="14" spans="2:21" x14ac:dyDescent="0.25">
      <c r="K14" s="168"/>
      <c r="U14" s="177"/>
    </row>
    <row r="15" spans="2:21" x14ac:dyDescent="0.25">
      <c r="J15" s="168"/>
    </row>
    <row r="16" spans="2:21" x14ac:dyDescent="0.25">
      <c r="J16" s="168"/>
    </row>
    <row r="17" spans="9:15" x14ac:dyDescent="0.25">
      <c r="J17" s="168"/>
    </row>
    <row r="18" spans="9:15" x14ac:dyDescent="0.25">
      <c r="O18" s="168"/>
    </row>
    <row r="20" spans="9:15" x14ac:dyDescent="0.25">
      <c r="I20" s="167"/>
    </row>
    <row r="21" spans="9:15" x14ac:dyDescent="0.25">
      <c r="I21" s="167"/>
    </row>
    <row r="22" spans="9:15" x14ac:dyDescent="0.25">
      <c r="I22" s="167"/>
    </row>
    <row r="23" spans="9:15" x14ac:dyDescent="0.25">
      <c r="I23" s="167"/>
    </row>
    <row r="24" spans="9:15" x14ac:dyDescent="0.25">
      <c r="I24" s="167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et résultats</vt:lpstr>
      <vt:lpstr>calculs (copie)</vt:lpstr>
      <vt:lpstr>centrage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2022-04-04T06:56:14Z</dcterms:created>
  <dcterms:modified xsi:type="dcterms:W3CDTF">2022-07-01T14:50:42Z</dcterms:modified>
</cp:coreProperties>
</file>